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s\thiago.campos.PEIXEVIVO\Desktop\Thiago\Atualização Cobrança  Usuários\"/>
    </mc:Choice>
  </mc:AlternateContent>
  <xr:revisionPtr revIDLastSave="0" documentId="13_ncr:1_{E8F1EACD-3E66-4220-8405-6267127F47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RRIGAÇÃO" sheetId="1" r:id="rId1"/>
    <sheet name="SANEAMENTO" sheetId="6" r:id="rId2"/>
    <sheet name="INDÚSTRIA_MINERAÇÃO" sheetId="5" r:id="rId3"/>
    <sheet name="DESSEDENTAÇÃO ANIMAL" sheetId="7" r:id="rId4"/>
    <sheet name="AQUICULTURA" sheetId="8" r:id="rId5"/>
    <sheet name="TRANSPOSIÇÃO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20" i="1" l="1"/>
  <c r="D7" i="6" l="1"/>
  <c r="D28" i="7" l="1"/>
  <c r="D23" i="7"/>
  <c r="D5" i="7"/>
  <c r="D25" i="6" l="1"/>
  <c r="D6" i="8" l="1"/>
  <c r="D6" i="5"/>
  <c r="D5" i="9" l="1"/>
  <c r="D22" i="9" l="1"/>
  <c r="D24" i="9"/>
  <c r="X4" i="9"/>
  <c r="X3" i="9"/>
  <c r="X2" i="9"/>
  <c r="G3" i="9" l="1"/>
  <c r="G5" i="9"/>
  <c r="D16" i="8"/>
  <c r="G7" i="9" l="1"/>
  <c r="D29" i="8"/>
  <c r="D26" i="8" l="1"/>
  <c r="D24" i="8"/>
  <c r="D22" i="8" s="1"/>
  <c r="G3" i="8" s="1"/>
  <c r="AA4" i="8"/>
  <c r="AA3" i="8"/>
  <c r="AA2" i="8"/>
  <c r="D29" i="7"/>
  <c r="D25" i="7"/>
  <c r="V6" i="7"/>
  <c r="V5" i="7"/>
  <c r="V4" i="7"/>
  <c r="D27" i="7" l="1"/>
  <c r="G5" i="8"/>
  <c r="G7" i="8"/>
  <c r="D21" i="7"/>
  <c r="G3" i="7" s="1"/>
  <c r="D30" i="5"/>
  <c r="D28" i="5"/>
  <c r="D37" i="6"/>
  <c r="D36" i="6"/>
  <c r="D31" i="6"/>
  <c r="D29" i="6"/>
  <c r="D33" i="6" s="1"/>
  <c r="D27" i="6"/>
  <c r="Z4" i="6"/>
  <c r="Z3" i="6"/>
  <c r="Z2" i="6"/>
  <c r="D32" i="5" l="1"/>
  <c r="D35" i="6"/>
  <c r="D23" i="6"/>
  <c r="G3" i="6" s="1"/>
  <c r="G5" i="7"/>
  <c r="G7" i="7" s="1"/>
  <c r="G9" i="8"/>
  <c r="D35" i="5"/>
  <c r="D36" i="5"/>
  <c r="D26" i="5"/>
  <c r="D24" i="5"/>
  <c r="AA4" i="5"/>
  <c r="AA3" i="5"/>
  <c r="AA2" i="5"/>
  <c r="D26" i="1"/>
  <c r="D22" i="1" s="1"/>
  <c r="D24" i="1"/>
  <c r="AC4" i="1"/>
  <c r="AC3" i="1"/>
  <c r="AC2" i="1"/>
  <c r="D17" i="6" l="1"/>
  <c r="G7" i="6" s="1"/>
  <c r="G5" i="6"/>
  <c r="D34" i="5"/>
  <c r="D16" i="5" s="1"/>
  <c r="G7" i="5" s="1"/>
  <c r="D22" i="5"/>
  <c r="G5" i="5" s="1"/>
  <c r="D18" i="1"/>
  <c r="G3" i="1" s="1"/>
  <c r="G9" i="6" l="1"/>
  <c r="AE5" i="1"/>
  <c r="G3" i="5"/>
  <c r="G9" i="5" s="1"/>
  <c r="G5" i="1"/>
  <c r="G7" i="1" l="1"/>
</calcChain>
</file>

<file path=xl/sharedStrings.xml><?xml version="1.0" encoding="utf-8"?>
<sst xmlns="http://schemas.openxmlformats.org/spreadsheetml/2006/main" count="236" uniqueCount="94">
  <si>
    <t>Classe do corpo hídrico</t>
  </si>
  <si>
    <t>Método de irrigação</t>
  </si>
  <si>
    <t>Valor captação</t>
  </si>
  <si>
    <t>Valor consumo</t>
  </si>
  <si>
    <t>Kcap</t>
  </si>
  <si>
    <t>PPUcap</t>
  </si>
  <si>
    <t>Classe corpo hídrico</t>
  </si>
  <si>
    <t>Especial</t>
  </si>
  <si>
    <t>VALOR</t>
  </si>
  <si>
    <t>Gotejamento</t>
  </si>
  <si>
    <t>Gotejamento subterrâneo - tudo poroso</t>
  </si>
  <si>
    <t>Tubos perfurados</t>
  </si>
  <si>
    <t>Micro aspersão</t>
  </si>
  <si>
    <t>Aspersão por sistema pivô central com LEPA</t>
  </si>
  <si>
    <t xml:space="preserve">Aspersão por sistema pivô central </t>
  </si>
  <si>
    <t>Aspersão por sistema deslocamento linear</t>
  </si>
  <si>
    <t>Aspersão por sistema em malha</t>
  </si>
  <si>
    <t>Aspersão por sistema autopropelido</t>
  </si>
  <si>
    <t>Aspersão por sistema convencional</t>
  </si>
  <si>
    <t>Sulcos abertos</t>
  </si>
  <si>
    <t>Sulcos interligados em bacias</t>
  </si>
  <si>
    <t>Sulcos fechados</t>
  </si>
  <si>
    <t>Sub-irrigação</t>
  </si>
  <si>
    <t>Inundação</t>
  </si>
  <si>
    <t>Ksistema</t>
  </si>
  <si>
    <t>Kcons irrig</t>
  </si>
  <si>
    <t>Kmanejo irrigação</t>
  </si>
  <si>
    <t>Kmanejo solo</t>
  </si>
  <si>
    <t>sim</t>
  </si>
  <si>
    <t>não</t>
  </si>
  <si>
    <t>Kout</t>
  </si>
  <si>
    <t>Kmed</t>
  </si>
  <si>
    <t>Kmed extra</t>
  </si>
  <si>
    <t>PPUcons</t>
  </si>
  <si>
    <t>Kclasse</t>
  </si>
  <si>
    <t>Keficiência</t>
  </si>
  <si>
    <t>ksistema</t>
  </si>
  <si>
    <t>Qcap out (m³/ano)</t>
  </si>
  <si>
    <t>Qcap med (m³/ano)</t>
  </si>
  <si>
    <t>Qcons (m³/ano)</t>
  </si>
  <si>
    <t>Utiliza práticas de conservação do solo?</t>
  </si>
  <si>
    <t>Adota manejo da irrigação?</t>
  </si>
  <si>
    <t>VALOR TOTAL ANUAL</t>
  </si>
  <si>
    <t>SIMULADOR DE COBRANÇA PELO USO DOS RECURSOS HÍDRICOS NA BACIA HIDROGRÁFICA DO RIO SÃO FRANCISCO</t>
  </si>
  <si>
    <t>Valor lançamento</t>
  </si>
  <si>
    <t>20 &lt; PD ≤ 30</t>
  </si>
  <si>
    <t>30 &lt; PD ≤ 40</t>
  </si>
  <si>
    <t>40 &lt; PD ≤ 50</t>
  </si>
  <si>
    <t>PD &gt; 50</t>
  </si>
  <si>
    <t>Índice de perdas na distribuição do usuário no ano de 2018 (PD - %)</t>
  </si>
  <si>
    <t>Índice de perdas - K0</t>
  </si>
  <si>
    <t>VALORcap</t>
  </si>
  <si>
    <t>Valor - Klanç</t>
  </si>
  <si>
    <t>-</t>
  </si>
  <si>
    <t>Índice de perdas na distribuição do usuário no ano de 2023 (PD - %)</t>
  </si>
  <si>
    <t>Klanç</t>
  </si>
  <si>
    <t>K0 - 2018</t>
  </si>
  <si>
    <t>K0 - 2023</t>
  </si>
  <si>
    <t>Kefciência</t>
  </si>
  <si>
    <t>Qlanç (m³/ano)</t>
  </si>
  <si>
    <t>PPUlanç</t>
  </si>
  <si>
    <t>Qindisponível (m³/ano)</t>
  </si>
  <si>
    <t>Qdiluição</t>
  </si>
  <si>
    <t>Qef</t>
  </si>
  <si>
    <t>Concentração lançamento permitida - CONAMA</t>
  </si>
  <si>
    <t>Cef (mg/L)</t>
  </si>
  <si>
    <t>Cperm (mg/L)</t>
  </si>
  <si>
    <t>Cnat (mg/L)</t>
  </si>
  <si>
    <r>
      <t xml:space="preserve">Concentração do poluente contida no efluente lançado (mg/L) - </t>
    </r>
    <r>
      <rPr>
        <b/>
        <sz val="11"/>
        <color rgb="FFFF0000"/>
        <rFont val="Calibri"/>
        <family val="2"/>
        <scheme val="minor"/>
      </rPr>
      <t>DBO</t>
    </r>
  </si>
  <si>
    <t>Índice de reutilização - Kint - %</t>
  </si>
  <si>
    <t>Índice de reúso - Kext - %</t>
  </si>
  <si>
    <t>Kint</t>
  </si>
  <si>
    <t xml:space="preserve">Índice de reutilização </t>
  </si>
  <si>
    <t>Kext</t>
  </si>
  <si>
    <t>0 - 20%</t>
  </si>
  <si>
    <t>21 - 40%</t>
  </si>
  <si>
    <t>41 - 60%</t>
  </si>
  <si>
    <t>61 - 80%</t>
  </si>
  <si>
    <t>81 - 90%</t>
  </si>
  <si>
    <t>91 - 100%</t>
  </si>
  <si>
    <t>Percentual de fósforo na ração utilizada (%)</t>
  </si>
  <si>
    <t>Quantidade de ração lançada (kg/dia)</t>
  </si>
  <si>
    <t>mg/L</t>
  </si>
  <si>
    <t>kg/m³</t>
  </si>
  <si>
    <t>Teor máximo de fósforo (CONAMA 357/2005)</t>
  </si>
  <si>
    <t>Quantidade de fósforo lançado (kg/dia)</t>
  </si>
  <si>
    <t>Prioridade</t>
  </si>
  <si>
    <t>Kprioridade</t>
  </si>
  <si>
    <t>A água captada será utilizada para abastecimento humano ou para dessedentação animal?</t>
  </si>
  <si>
    <t>Coeficiente de retorno</t>
  </si>
  <si>
    <t>Qlanç [out /med] (m³/ano)</t>
  </si>
  <si>
    <r>
      <t xml:space="preserve">Concentração do poluente contida no efluente lançado [outorgado] (mg/L) - </t>
    </r>
    <r>
      <rPr>
        <b/>
        <sz val="11"/>
        <color rgb="FFFF0000"/>
        <rFont val="Calibri"/>
        <family val="2"/>
        <scheme val="minor"/>
      </rPr>
      <t>DBO</t>
    </r>
  </si>
  <si>
    <t xml:space="preserve">Coeficiente de retorno </t>
  </si>
  <si>
    <t>ANO BASE: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</si>
</sst>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R$&quot;* #,##0.00_-;\-&quot;R$&quot;* #,##0.00_-;_-&quot;R$&quot;* &quot;-&quot;??_-;_-@_-"/>
    <numFmt numFmtId="165" formatCode="&quot;R$&quot;\ #,##0.00"/>
    <numFmt numFmtId="166" formatCode="&quot;R$&quot;\ #,##0.0000"/>
    <numFmt numFmtId="167" formatCode="#,##0.000"/>
    <numFmt numFmtId="168" formatCode="#,##0.000000"/>
    <numFmt numFmtId="169" formatCode="#,##0.000000000"/>
    <numFmt numFmtId="170" formatCode="0.0%"/>
    <numFmt numFmtId="171" formatCode="&quot;R$&quot;#,##0.000"/>
    <numFmt numFmtId="172" formatCode="&quot;R$&quot;#,##0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6"/>
      <color rgb="FFFF0000"/>
      <name val="Cambria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/>
    <xf numFmtId="0" fontId="0" fillId="3" borderId="12" xfId="0" applyFill="1" applyBorder="1"/>
    <xf numFmtId="0" fontId="0" fillId="4" borderId="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167" fontId="0" fillId="2" borderId="0" xfId="0" applyNumberFormat="1" applyFill="1" applyAlignment="1">
      <alignment horizontal="right" vertical="center"/>
    </xf>
    <xf numFmtId="169" fontId="0" fillId="2" borderId="0" xfId="0" applyNumberFormat="1" applyFill="1" applyAlignment="1">
      <alignment horizontal="right" vertical="center"/>
    </xf>
    <xf numFmtId="168" fontId="0" fillId="2" borderId="0" xfId="0" applyNumberForma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justify" vertical="center" wrapText="1"/>
    </xf>
    <xf numFmtId="165" fontId="3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13" xfId="0" applyFill="1" applyBorder="1"/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vertical="center"/>
    </xf>
    <xf numFmtId="0" fontId="0" fillId="2" borderId="16" xfId="0" applyFill="1" applyBorder="1"/>
    <xf numFmtId="0" fontId="0" fillId="2" borderId="18" xfId="0" applyFill="1" applyBorder="1"/>
    <xf numFmtId="0" fontId="0" fillId="2" borderId="19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17" xfId="0" applyFill="1" applyBorder="1"/>
    <xf numFmtId="165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165" fontId="1" fillId="2" borderId="17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165" fontId="12" fillId="2" borderId="0" xfId="0" applyNumberFormat="1" applyFont="1" applyFill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2" borderId="0" xfId="0" applyNumberFormat="1" applyFill="1" applyAlignment="1">
      <alignment vertical="center"/>
    </xf>
    <xf numFmtId="3" fontId="0" fillId="3" borderId="3" xfId="0" applyNumberFormat="1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70" fontId="0" fillId="3" borderId="3" xfId="2" applyNumberFormat="1" applyFont="1" applyFill="1" applyBorder="1" applyAlignment="1" applyProtection="1">
      <alignment horizontal="center" vertical="center"/>
      <protection locked="0"/>
    </xf>
    <xf numFmtId="4" fontId="0" fillId="3" borderId="3" xfId="0" applyNumberFormat="1" applyFill="1" applyBorder="1" applyAlignment="1" applyProtection="1">
      <alignment horizontal="center" vertical="center"/>
      <protection locked="0"/>
    </xf>
    <xf numFmtId="164" fontId="0" fillId="2" borderId="0" xfId="3" applyFont="1" applyFill="1"/>
    <xf numFmtId="2" fontId="0" fillId="2" borderId="0" xfId="0" applyNumberFormat="1" applyFill="1"/>
    <xf numFmtId="0" fontId="10" fillId="3" borderId="0" xfId="0" applyFont="1" applyFill="1" applyAlignment="1">
      <alignment horizontal="center" vertical="center" wrapText="1"/>
    </xf>
    <xf numFmtId="171" fontId="0" fillId="2" borderId="0" xfId="0" applyNumberFormat="1" applyFill="1" applyAlignment="1">
      <alignment horizontal="center"/>
    </xf>
    <xf numFmtId="172" fontId="0" fillId="2" borderId="0" xfId="3" applyNumberFormat="1" applyFont="1" applyFill="1" applyBorder="1" applyAlignment="1">
      <alignment vertical="center"/>
    </xf>
    <xf numFmtId="171" fontId="0" fillId="2" borderId="0" xfId="0" applyNumberFormat="1" applyFill="1"/>
    <xf numFmtId="0" fontId="6" fillId="3" borderId="8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8" fillId="3" borderId="11" xfId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4">
    <cellStyle name="Hiperlink" xfId="1" builtinId="8"/>
    <cellStyle name="Moeda" xfId="3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258680</xdr:colOff>
      <xdr:row>5</xdr:row>
      <xdr:rowOff>63649</xdr:rowOff>
    </xdr:from>
    <xdr:to>
      <xdr:col>12</xdr:col>
      <xdr:colOff>295276</xdr:colOff>
      <xdr:row>9</xdr:row>
      <xdr:rowOff>185358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4155" y="1568599"/>
          <a:ext cx="2093996" cy="1607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6</xdr:row>
      <xdr:rowOff>133350</xdr:rowOff>
    </xdr:from>
    <xdr:to>
      <xdr:col>13</xdr:col>
      <xdr:colOff>66675</xdr:colOff>
      <xdr:row>11</xdr:row>
      <xdr:rowOff>323850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1650" y="1476375"/>
          <a:ext cx="2705100" cy="2095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160244</xdr:colOff>
      <xdr:row>5</xdr:row>
      <xdr:rowOff>133350</xdr:rowOff>
    </xdr:from>
    <xdr:to>
      <xdr:col>12</xdr:col>
      <xdr:colOff>602774</xdr:colOff>
      <xdr:row>10</xdr:row>
      <xdr:rowOff>323850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1773" y="1668556"/>
          <a:ext cx="2694913" cy="2095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144532</xdr:colOff>
      <xdr:row>5</xdr:row>
      <xdr:rowOff>15152</xdr:rowOff>
    </xdr:from>
    <xdr:to>
      <xdr:col>12</xdr:col>
      <xdr:colOff>579783</xdr:colOff>
      <xdr:row>10</xdr:row>
      <xdr:rowOff>107260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2858" y="1564000"/>
          <a:ext cx="2572164" cy="1997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5</xdr:row>
      <xdr:rowOff>133350</xdr:rowOff>
    </xdr:from>
    <xdr:to>
      <xdr:col>12</xdr:col>
      <xdr:colOff>657226</xdr:colOff>
      <xdr:row>10</xdr:row>
      <xdr:rowOff>323850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6475" y="1657350"/>
          <a:ext cx="2705100" cy="2095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5</xdr:row>
      <xdr:rowOff>200025</xdr:rowOff>
    </xdr:from>
    <xdr:to>
      <xdr:col>13</xdr:col>
      <xdr:colOff>85725</xdr:colOff>
      <xdr:row>10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1533525"/>
          <a:ext cx="2705100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92D050"/>
  </sheetPr>
  <dimension ref="B1:AF33"/>
  <sheetViews>
    <sheetView showGridLines="0" tabSelected="1" zoomScale="115" zoomScaleNormal="115" workbookViewId="0">
      <selection activeCell="F10" sqref="F10"/>
    </sheetView>
  </sheetViews>
  <sheetFormatPr defaultRowHeight="15" x14ac:dyDescent="0.25"/>
  <cols>
    <col min="1" max="1" width="4.7109375" style="3" customWidth="1"/>
    <col min="2" max="2" width="4.5703125" style="3" customWidth="1"/>
    <col min="3" max="3" width="36.5703125" style="1" customWidth="1"/>
    <col min="4" max="4" width="23.5703125" style="2" customWidth="1"/>
    <col min="5" max="5" width="5.42578125" style="3" customWidth="1"/>
    <col min="6" max="6" width="27" style="3" customWidth="1"/>
    <col min="7" max="7" width="25.85546875" style="3" customWidth="1"/>
    <col min="8" max="8" width="4.7109375" style="3" customWidth="1"/>
    <col min="9" max="14" width="10.28515625" style="3" customWidth="1"/>
    <col min="15" max="15" width="4.7109375" style="3" customWidth="1"/>
    <col min="16" max="16" width="18.7109375" style="4" hidden="1" customWidth="1"/>
    <col min="17" max="17" width="9.140625" style="4" hidden="1" customWidth="1"/>
    <col min="18" max="18" width="9.140625" style="3" hidden="1" customWidth="1"/>
    <col min="19" max="19" width="40.5703125" style="3" hidden="1" customWidth="1"/>
    <col min="20" max="20" width="9.140625" style="3" hidden="1" customWidth="1"/>
    <col min="21" max="21" width="10.140625" style="3" hidden="1" customWidth="1"/>
    <col min="22" max="22" width="9.140625" style="3" hidden="1" customWidth="1"/>
    <col min="23" max="23" width="13.140625" style="3" hidden="1" customWidth="1"/>
    <col min="24" max="24" width="9.140625" style="3" hidden="1" customWidth="1"/>
    <col min="25" max="25" width="17" style="3" hidden="1" customWidth="1"/>
    <col min="26" max="27" width="9.140625" style="3" hidden="1" customWidth="1"/>
    <col min="28" max="28" width="11.140625" style="3" hidden="1" customWidth="1"/>
    <col min="29" max="29" width="7.85546875" style="4" hidden="1" customWidth="1"/>
    <col min="30" max="31" width="13.5703125" style="3" hidden="1" customWidth="1"/>
    <col min="32" max="32" width="2.42578125" style="3" hidden="1" customWidth="1"/>
    <col min="33" max="35" width="9.140625" style="3"/>
    <col min="36" max="36" width="4.7109375" style="3" customWidth="1"/>
    <col min="37" max="16384" width="9.140625" style="3"/>
  </cols>
  <sheetData>
    <row r="1" spans="2:31" ht="15.75" thickBot="1" x14ac:dyDescent="0.3"/>
    <row r="2" spans="2:31" ht="15" customHeight="1" thickTop="1" thickBot="1" x14ac:dyDescent="0.3">
      <c r="B2" s="39"/>
      <c r="C2" s="40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" t="s">
        <v>6</v>
      </c>
      <c r="Q2" s="4" t="s">
        <v>8</v>
      </c>
      <c r="S2" s="3" t="s">
        <v>1</v>
      </c>
      <c r="T2" s="3" t="s">
        <v>24</v>
      </c>
      <c r="U2" s="3" t="s">
        <v>25</v>
      </c>
      <c r="W2" s="3" t="s">
        <v>27</v>
      </c>
      <c r="X2" s="3" t="s">
        <v>8</v>
      </c>
      <c r="Y2" s="3" t="s">
        <v>26</v>
      </c>
      <c r="Z2" s="3" t="s">
        <v>8</v>
      </c>
      <c r="AB2" s="3" t="s">
        <v>30</v>
      </c>
      <c r="AC2" s="4" t="e">
        <f>IF(AND($D$4/$D$3&gt;=0.7,$D$4/$D$3&lt;1),0.2,IF($D$4/$D$3&lt;0.7,0.2,IF($D$4/$D$3&gt;1,0)))</f>
        <v>#DIV/0!</v>
      </c>
    </row>
    <row r="3" spans="2:31" s="1" customFormat="1" ht="29.25" customHeight="1" thickBot="1" x14ac:dyDescent="0.3">
      <c r="B3" s="44"/>
      <c r="C3" s="19" t="s">
        <v>37</v>
      </c>
      <c r="D3" s="63"/>
      <c r="F3" s="23" t="s">
        <v>2</v>
      </c>
      <c r="G3" s="9" t="e">
        <f>IF(D4=0,D3*D15*D18,IF(AND($D$4/$D$3&gt;=0.7,$D$4/$D$3&lt;1),(0.2*D3+0.8*D4)*D15*D18,IF($D$4/$D$3&lt;0.7,(0.2*D3+0.8*D4+1*(0.7*D3-D4))*D15*D18,IF($D$4/$D$3&gt;=1,D4*D15*D18))))</f>
        <v>#N/A</v>
      </c>
      <c r="H3" s="36"/>
      <c r="I3" s="11"/>
      <c r="J3" s="12"/>
      <c r="K3" s="12"/>
      <c r="L3" s="12"/>
      <c r="M3" s="12"/>
      <c r="N3" s="13"/>
      <c r="O3" s="51"/>
      <c r="P3" s="2"/>
      <c r="Q3" s="2"/>
      <c r="AB3" s="1" t="s">
        <v>31</v>
      </c>
      <c r="AC3" s="2" t="e">
        <f>IF(AND($D$4/$D$3&gt;=0.7,$D$4/$D$3&lt;1),0.8,IF($D$4/$D$3&lt;0.7,0.8,IF($D$4/$D$3&gt;1,1)))</f>
        <v>#DIV/0!</v>
      </c>
    </row>
    <row r="4" spans="2:31" s="1" customFormat="1" ht="29.25" customHeight="1" thickBot="1" x14ac:dyDescent="0.3">
      <c r="B4" s="44"/>
      <c r="C4" s="20" t="s">
        <v>38</v>
      </c>
      <c r="D4" s="64"/>
      <c r="F4" s="38"/>
      <c r="G4" s="38"/>
      <c r="H4" s="38"/>
      <c r="I4" s="14"/>
      <c r="J4" s="80" t="s">
        <v>43</v>
      </c>
      <c r="K4" s="80"/>
      <c r="L4" s="80"/>
      <c r="M4" s="80"/>
      <c r="N4" s="16"/>
      <c r="O4" s="51"/>
      <c r="P4" s="2" t="s">
        <v>7</v>
      </c>
      <c r="Q4" s="2">
        <v>1.1000000000000001</v>
      </c>
      <c r="S4" s="2" t="s">
        <v>9</v>
      </c>
      <c r="T4" s="2">
        <v>0.1</v>
      </c>
      <c r="U4" s="1">
        <v>0.9</v>
      </c>
      <c r="W4" s="2" t="s">
        <v>28</v>
      </c>
      <c r="X4" s="2">
        <v>0.8</v>
      </c>
      <c r="Y4" s="2" t="s">
        <v>28</v>
      </c>
      <c r="Z4" s="1">
        <v>0.7</v>
      </c>
      <c r="AB4" s="1" t="s">
        <v>32</v>
      </c>
      <c r="AC4" s="2" t="e">
        <f>IF(AND($D$4/$D$3&gt;=0.7,$D$4/$D$3&lt;1),0,IF($D$4/$D$3&lt;0.7,1,IF($D$4/$D$3&gt;1,0)))</f>
        <v>#DIV/0!</v>
      </c>
    </row>
    <row r="5" spans="2:31" s="1" customFormat="1" ht="29.25" customHeight="1" thickBot="1" x14ac:dyDescent="0.3">
      <c r="B5" s="44"/>
      <c r="C5" s="19" t="s">
        <v>39</v>
      </c>
      <c r="D5" s="25">
        <f>IF(D4&gt;0,D4*(1-D28),IF(D4="",D3*(1-D28),0))</f>
        <v>0</v>
      </c>
      <c r="F5" s="23" t="s">
        <v>3</v>
      </c>
      <c r="G5" s="9" t="e">
        <f>D5*D16*D18</f>
        <v>#N/A</v>
      </c>
      <c r="H5" s="36"/>
      <c r="I5" s="14"/>
      <c r="J5" s="80"/>
      <c r="K5" s="80"/>
      <c r="L5" s="80"/>
      <c r="M5" s="80"/>
      <c r="N5" s="16"/>
      <c r="O5" s="51"/>
      <c r="P5" s="2">
        <v>1</v>
      </c>
      <c r="Q5" s="2">
        <v>1.05</v>
      </c>
      <c r="S5" s="2" t="s">
        <v>10</v>
      </c>
      <c r="T5" s="2">
        <v>0.1</v>
      </c>
      <c r="U5" s="1">
        <v>0.9</v>
      </c>
      <c r="W5" s="2" t="s">
        <v>29</v>
      </c>
      <c r="X5" s="2">
        <v>1</v>
      </c>
      <c r="Y5" s="2" t="s">
        <v>29</v>
      </c>
      <c r="Z5" s="1">
        <v>1</v>
      </c>
      <c r="AC5" s="2"/>
      <c r="AE5" s="69" t="e">
        <f>(0.2*D3+0.8*D4)*D15*D18</f>
        <v>#N/A</v>
      </c>
    </row>
    <row r="6" spans="2:31" s="1" customFormat="1" ht="29.25" customHeight="1" thickBot="1" x14ac:dyDescent="0.3">
      <c r="B6" s="44"/>
      <c r="D6" s="2"/>
      <c r="F6" s="38"/>
      <c r="G6" s="38"/>
      <c r="H6" s="38"/>
      <c r="I6" s="14"/>
      <c r="J6" s="15"/>
      <c r="K6" s="15"/>
      <c r="L6" s="15"/>
      <c r="M6" s="15"/>
      <c r="N6" s="16"/>
      <c r="O6" s="51"/>
      <c r="P6" s="2">
        <v>2</v>
      </c>
      <c r="Q6" s="2">
        <v>1</v>
      </c>
      <c r="S6" s="2" t="s">
        <v>11</v>
      </c>
      <c r="T6" s="2">
        <v>0.15</v>
      </c>
      <c r="U6" s="1">
        <v>0.85</v>
      </c>
      <c r="AC6" s="2"/>
    </row>
    <row r="7" spans="2:31" s="1" customFormat="1" ht="29.25" customHeight="1" thickBot="1" x14ac:dyDescent="0.3">
      <c r="B7" s="44"/>
      <c r="C7" s="21" t="s">
        <v>0</v>
      </c>
      <c r="D7" s="65"/>
      <c r="F7" s="24" t="s">
        <v>42</v>
      </c>
      <c r="G7" s="10" t="e">
        <f>G3+G5</f>
        <v>#N/A</v>
      </c>
      <c r="H7" s="37"/>
      <c r="I7" s="14"/>
      <c r="J7" s="15"/>
      <c r="K7" s="15"/>
      <c r="L7" s="15"/>
      <c r="M7" s="15"/>
      <c r="N7" s="16"/>
      <c r="O7" s="51"/>
      <c r="P7" s="2">
        <v>3</v>
      </c>
      <c r="Q7" s="2">
        <v>0.9</v>
      </c>
      <c r="S7" s="2" t="s">
        <v>12</v>
      </c>
      <c r="T7" s="2">
        <v>0.1</v>
      </c>
      <c r="U7" s="1">
        <v>0.9</v>
      </c>
      <c r="AC7" s="2"/>
    </row>
    <row r="8" spans="2:31" s="1" customFormat="1" ht="29.25" customHeight="1" thickBot="1" x14ac:dyDescent="0.3">
      <c r="B8" s="44"/>
      <c r="D8" s="2"/>
      <c r="I8" s="14"/>
      <c r="J8" s="15"/>
      <c r="K8" s="15"/>
      <c r="L8" s="15"/>
      <c r="M8" s="15"/>
      <c r="N8" s="16"/>
      <c r="O8" s="51"/>
      <c r="P8" s="2">
        <v>4</v>
      </c>
      <c r="Q8" s="2">
        <v>0.8</v>
      </c>
      <c r="S8" s="2" t="s">
        <v>13</v>
      </c>
      <c r="T8" s="2">
        <v>0.1</v>
      </c>
      <c r="U8" s="1">
        <v>0.9</v>
      </c>
      <c r="AC8" s="2"/>
    </row>
    <row r="9" spans="2:31" s="1" customFormat="1" ht="29.25" customHeight="1" thickBot="1" x14ac:dyDescent="0.3">
      <c r="B9" s="44"/>
      <c r="C9" s="19" t="s">
        <v>1</v>
      </c>
      <c r="D9" s="66"/>
      <c r="I9" s="14"/>
      <c r="J9" s="15"/>
      <c r="K9" s="15"/>
      <c r="L9" s="15"/>
      <c r="M9" s="15"/>
      <c r="N9" s="16"/>
      <c r="O9" s="51"/>
      <c r="P9" s="2"/>
      <c r="Q9" s="2"/>
      <c r="S9" s="2" t="s">
        <v>14</v>
      </c>
      <c r="T9" s="2">
        <v>0.15</v>
      </c>
      <c r="U9" s="1">
        <v>0.85</v>
      </c>
      <c r="AC9" s="2"/>
    </row>
    <row r="10" spans="2:31" s="1" customFormat="1" ht="29.25" customHeight="1" thickBot="1" x14ac:dyDescent="0.3">
      <c r="B10" s="44"/>
      <c r="D10" s="2"/>
      <c r="I10" s="14"/>
      <c r="J10" s="15"/>
      <c r="K10" s="15"/>
      <c r="L10" s="15"/>
      <c r="M10" s="15"/>
      <c r="N10" s="16"/>
      <c r="O10" s="51"/>
      <c r="P10" s="2"/>
      <c r="Q10" s="2"/>
      <c r="S10" s="2" t="s">
        <v>15</v>
      </c>
      <c r="T10" s="2">
        <v>0.1</v>
      </c>
      <c r="U10" s="1">
        <v>0.9</v>
      </c>
      <c r="AC10" s="2"/>
    </row>
    <row r="11" spans="2:31" s="1" customFormat="1" ht="29.25" customHeight="1" thickBot="1" x14ac:dyDescent="0.3">
      <c r="B11" s="44"/>
      <c r="C11" s="22" t="s">
        <v>40</v>
      </c>
      <c r="D11" s="65"/>
      <c r="I11" s="14"/>
      <c r="J11" s="81" t="s">
        <v>93</v>
      </c>
      <c r="K11" s="82"/>
      <c r="L11" s="82"/>
      <c r="M11" s="82"/>
      <c r="N11" s="16"/>
      <c r="O11" s="51"/>
      <c r="P11" s="2"/>
      <c r="Q11" s="2"/>
      <c r="S11" s="2" t="s">
        <v>16</v>
      </c>
      <c r="T11" s="2">
        <v>0.15</v>
      </c>
      <c r="U11" s="1">
        <v>0.85</v>
      </c>
      <c r="AC11" s="2"/>
    </row>
    <row r="12" spans="2:31" s="1" customFormat="1" ht="29.25" customHeight="1" thickBot="1" x14ac:dyDescent="0.3">
      <c r="B12" s="44"/>
      <c r="C12" s="19" t="s">
        <v>41</v>
      </c>
      <c r="D12" s="65"/>
      <c r="I12" s="75"/>
      <c r="J12" s="76"/>
      <c r="K12" s="76"/>
      <c r="L12" s="76"/>
      <c r="M12" s="76"/>
      <c r="N12" s="77"/>
      <c r="O12" s="51"/>
      <c r="P12" s="2"/>
      <c r="Q12" s="2"/>
      <c r="S12" s="2" t="s">
        <v>17</v>
      </c>
      <c r="T12" s="2">
        <v>0.15</v>
      </c>
      <c r="U12" s="1">
        <v>0.85</v>
      </c>
      <c r="AC12" s="2"/>
    </row>
    <row r="13" spans="2:31" ht="15.75" thickBot="1" x14ac:dyDescent="0.3">
      <c r="B13" s="45"/>
      <c r="I13" s="17"/>
      <c r="J13" s="78"/>
      <c r="K13" s="79"/>
      <c r="L13" s="79"/>
      <c r="M13" s="79"/>
      <c r="N13" s="18"/>
      <c r="O13" s="51"/>
      <c r="S13" s="4" t="s">
        <v>18</v>
      </c>
      <c r="T13" s="4">
        <v>0.15</v>
      </c>
      <c r="U13" s="3">
        <v>0.85</v>
      </c>
    </row>
    <row r="14" spans="2:31" ht="15.75" thickBot="1" x14ac:dyDescent="0.3">
      <c r="B14" s="46"/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S14" s="4" t="s">
        <v>19</v>
      </c>
      <c r="T14" s="4">
        <v>0.3</v>
      </c>
      <c r="U14" s="4">
        <v>0.7</v>
      </c>
    </row>
    <row r="15" spans="2:31" ht="15.75" hidden="1" thickTop="1" x14ac:dyDescent="0.25">
      <c r="C15" s="1" t="s">
        <v>5</v>
      </c>
      <c r="D15" s="27">
        <v>1.5100000000000001E-2</v>
      </c>
      <c r="S15" s="4" t="s">
        <v>20</v>
      </c>
      <c r="T15" s="4">
        <v>0.2</v>
      </c>
      <c r="U15" s="4">
        <v>0.8</v>
      </c>
    </row>
    <row r="16" spans="2:31" hidden="1" x14ac:dyDescent="0.25">
      <c r="C16" s="1" t="s">
        <v>33</v>
      </c>
      <c r="D16" s="27">
        <v>3.0200000000000001E-2</v>
      </c>
      <c r="S16" s="4" t="s">
        <v>21</v>
      </c>
      <c r="T16" s="4">
        <v>0.2</v>
      </c>
      <c r="U16" s="4">
        <v>0.8</v>
      </c>
    </row>
    <row r="17" spans="3:21" hidden="1" x14ac:dyDescent="0.25">
      <c r="S17" s="4" t="s">
        <v>22</v>
      </c>
      <c r="T17" s="4">
        <v>0.3</v>
      </c>
      <c r="U17" s="4">
        <v>0.7</v>
      </c>
    </row>
    <row r="18" spans="3:21" hidden="1" x14ac:dyDescent="0.25">
      <c r="C18" s="1" t="s">
        <v>4</v>
      </c>
      <c r="D18" s="2" t="e">
        <f>D22*D24</f>
        <v>#N/A</v>
      </c>
      <c r="S18" s="4" t="s">
        <v>23</v>
      </c>
      <c r="T18" s="4">
        <v>0.3</v>
      </c>
      <c r="U18" s="4">
        <v>0.7</v>
      </c>
    </row>
    <row r="19" spans="3:21" hidden="1" x14ac:dyDescent="0.25"/>
    <row r="20" spans="3:21" hidden="1" x14ac:dyDescent="0.25">
      <c r="C20" s="1" t="s">
        <v>25</v>
      </c>
      <c r="D20" s="2" t="e">
        <f>VLOOKUP(D9,S4:U18,3,FALSE)</f>
        <v>#N/A</v>
      </c>
    </row>
    <row r="21" spans="3:21" hidden="1" x14ac:dyDescent="0.25"/>
    <row r="22" spans="3:21" hidden="1" x14ac:dyDescent="0.25">
      <c r="C22" s="1" t="s">
        <v>35</v>
      </c>
      <c r="D22" s="2" t="e">
        <f>VLOOKUP(D11,W4:X5,2,FALSE)*VLOOKUP(D12,Y4:Z5,2,FALSE)*D26</f>
        <v>#N/A</v>
      </c>
    </row>
    <row r="23" spans="3:21" hidden="1" x14ac:dyDescent="0.25"/>
    <row r="24" spans="3:21" hidden="1" x14ac:dyDescent="0.25">
      <c r="C24" s="1" t="s">
        <v>34</v>
      </c>
      <c r="D24" s="2" t="e">
        <f>VLOOKUP(D7,P3:Q8,2,FALSE)</f>
        <v>#N/A</v>
      </c>
    </row>
    <row r="25" spans="3:21" hidden="1" x14ac:dyDescent="0.25"/>
    <row r="26" spans="3:21" hidden="1" x14ac:dyDescent="0.25">
      <c r="C26" s="1" t="s">
        <v>36</v>
      </c>
      <c r="D26" s="2" t="e">
        <f>VLOOKUP(D9,S3:U18,2,FALSE)</f>
        <v>#N/A</v>
      </c>
    </row>
    <row r="27" spans="3:21" hidden="1" x14ac:dyDescent="0.25"/>
    <row r="28" spans="3:21" hidden="1" x14ac:dyDescent="0.25">
      <c r="C28" s="1" t="s">
        <v>92</v>
      </c>
      <c r="D28" s="2">
        <v>0</v>
      </c>
    </row>
    <row r="29" spans="3:21" ht="15.75" thickTop="1" x14ac:dyDescent="0.25"/>
    <row r="30" spans="3:21" x14ac:dyDescent="0.25">
      <c r="G30" s="72"/>
    </row>
    <row r="33" spans="6:6" x14ac:dyDescent="0.25">
      <c r="F33" s="74"/>
    </row>
  </sheetData>
  <sheetProtection formatCells="0" formatColumns="0" formatRows="0" insertColumns="0" insertRows="0" insertHyperlinks="0" deleteColumns="0" deleteRows="0" sort="0" autoFilter="0" pivotTables="0"/>
  <mergeCells count="4">
    <mergeCell ref="I12:N12"/>
    <mergeCell ref="J13:M13"/>
    <mergeCell ref="J4:M5"/>
    <mergeCell ref="J11:M11"/>
  </mergeCells>
  <dataValidations count="4">
    <dataValidation type="list" allowBlank="1" showInputMessage="1" showErrorMessage="1" sqref="D7" xr:uid="{00000000-0002-0000-0000-000000000000}">
      <formula1>$P$3:$P$8</formula1>
    </dataValidation>
    <dataValidation type="list" allowBlank="1" showInputMessage="1" showErrorMessage="1" sqref="D11" xr:uid="{00000000-0002-0000-0000-000001000000}">
      <formula1>$W$3:$W$5</formula1>
    </dataValidation>
    <dataValidation type="list" allowBlank="1" showInputMessage="1" showErrorMessage="1" sqref="D12" xr:uid="{00000000-0002-0000-0000-000002000000}">
      <formula1>$Y$3:$Y$5</formula1>
    </dataValidation>
    <dataValidation type="list" allowBlank="1" showInputMessage="1" showErrorMessage="1" sqref="D9" xr:uid="{00000000-0002-0000-0000-000003000000}">
      <formula1>$S$3:$S$18</formula1>
    </dataValidation>
  </dataValidations>
  <pageMargins left="0.511811024" right="0.511811024" top="0.78740157499999996" bottom="0.78740157499999996" header="0.31496062000000002" footer="0.31496062000000002"/>
  <pageSetup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theme="0" tint="-0.34998626667073579"/>
  </sheetPr>
  <dimension ref="B1:Z43"/>
  <sheetViews>
    <sheetView showGridLines="0" zoomScale="130" zoomScaleNormal="130" workbookViewId="0">
      <selection activeCell="D3" sqref="D3"/>
    </sheetView>
  </sheetViews>
  <sheetFormatPr defaultRowHeight="15" x14ac:dyDescent="0.25"/>
  <cols>
    <col min="1" max="2" width="4.7109375" style="3" customWidth="1"/>
    <col min="3" max="3" width="39.7109375" style="1" customWidth="1"/>
    <col min="4" max="4" width="24.42578125" style="2" customWidth="1"/>
    <col min="5" max="5" width="5.85546875" style="3" customWidth="1"/>
    <col min="6" max="6" width="27" style="3" customWidth="1"/>
    <col min="7" max="7" width="24.140625" style="3" customWidth="1"/>
    <col min="8" max="8" width="5.7109375" style="3" customWidth="1"/>
    <col min="9" max="14" width="9.5703125" style="3" customWidth="1"/>
    <col min="15" max="15" width="4.7109375" style="3" customWidth="1"/>
    <col min="16" max="16" width="18.7109375" style="4" hidden="1" customWidth="1"/>
    <col min="17" max="17" width="10" style="4" hidden="1" customWidth="1"/>
    <col min="18" max="18" width="12" style="4" hidden="1" customWidth="1"/>
    <col min="19" max="19" width="44" style="4" hidden="1" customWidth="1"/>
    <col min="20" max="20" width="9.140625" style="3" hidden="1" customWidth="1"/>
    <col min="21" max="21" width="21" style="3" hidden="1" customWidth="1"/>
    <col min="22" max="24" width="9.140625" style="3" hidden="1" customWidth="1"/>
    <col min="25" max="25" width="11.140625" style="3" hidden="1" customWidth="1"/>
    <col min="26" max="26" width="9.140625" style="4" hidden="1" customWidth="1"/>
    <col min="27" max="27" width="11.140625" style="3" customWidth="1"/>
    <col min="28" max="34" width="9.140625" style="3"/>
    <col min="35" max="35" width="4.7109375" style="3" customWidth="1"/>
    <col min="36" max="16384" width="9.140625" style="3"/>
  </cols>
  <sheetData>
    <row r="1" spans="2:26" ht="15.75" thickBot="1" x14ac:dyDescent="0.3"/>
    <row r="2" spans="2:26" ht="15" customHeight="1" thickTop="1" thickBot="1" x14ac:dyDescent="0.3">
      <c r="B2" s="39"/>
      <c r="C2" s="40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" t="s">
        <v>6</v>
      </c>
      <c r="Q2" s="4" t="s">
        <v>51</v>
      </c>
      <c r="R2" s="4" t="s">
        <v>52</v>
      </c>
      <c r="S2" s="4" t="s">
        <v>64</v>
      </c>
      <c r="U2" s="3" t="s">
        <v>50</v>
      </c>
      <c r="V2" s="3">
        <v>2018</v>
      </c>
      <c r="W2" s="3">
        <v>2023</v>
      </c>
      <c r="Y2" s="3" t="s">
        <v>30</v>
      </c>
      <c r="Z2" s="4" t="e">
        <f>IF(AND($D$4/$D$3&gt;=0.7,$D$4/$D$3&lt;1),0.2,IF($D$4/$D$3&lt;0.7,0.2,IF($D$4/$D$3&gt;1,0)))</f>
        <v>#DIV/0!</v>
      </c>
    </row>
    <row r="3" spans="2:26" s="1" customFormat="1" ht="30" customHeight="1" thickBot="1" x14ac:dyDescent="0.3">
      <c r="B3" s="44"/>
      <c r="C3" s="19" t="s">
        <v>37</v>
      </c>
      <c r="D3" s="63"/>
      <c r="F3" s="23" t="s">
        <v>2</v>
      </c>
      <c r="G3" s="9" t="e">
        <f ca="1">IF(D4=0,D3*D19*D23,(Z2*D3+Z3*D4+Z4*(0.7*D3-D4))*D19*D23)</f>
        <v>#N/A</v>
      </c>
      <c r="H3" s="6"/>
      <c r="I3" s="11"/>
      <c r="J3" s="12"/>
      <c r="K3" s="12"/>
      <c r="L3" s="12"/>
      <c r="M3" s="12"/>
      <c r="N3" s="13"/>
      <c r="O3" s="52"/>
      <c r="P3" s="2"/>
      <c r="Q3" s="2"/>
      <c r="R3" s="2"/>
      <c r="S3" s="2"/>
      <c r="Y3" s="1" t="s">
        <v>31</v>
      </c>
      <c r="Z3" s="2" t="e">
        <f>IF(AND($D$4/$D$3&gt;=0.7,$D$4/$D$3&lt;1),0.8,IF($D$4/$D$3&lt;0.7,0.8,IF($D$4/$D$3&gt;1,1)))</f>
        <v>#DIV/0!</v>
      </c>
    </row>
    <row r="4" spans="2:26" s="1" customFormat="1" ht="30" customHeight="1" thickBot="1" x14ac:dyDescent="0.3">
      <c r="B4" s="44"/>
      <c r="C4" s="20" t="s">
        <v>38</v>
      </c>
      <c r="D4" s="64"/>
      <c r="F4" s="38"/>
      <c r="G4" s="38"/>
      <c r="I4" s="14"/>
      <c r="J4" s="80" t="s">
        <v>43</v>
      </c>
      <c r="K4" s="80"/>
      <c r="L4" s="80"/>
      <c r="M4" s="80"/>
      <c r="N4" s="16"/>
      <c r="O4" s="53"/>
      <c r="P4" s="2" t="s">
        <v>7</v>
      </c>
      <c r="Q4" s="2">
        <v>1.1000000000000001</v>
      </c>
      <c r="R4" s="26">
        <v>1</v>
      </c>
      <c r="S4" s="26"/>
      <c r="U4" s="7" t="s">
        <v>45</v>
      </c>
      <c r="V4" s="2">
        <v>0.8</v>
      </c>
      <c r="W4" s="1">
        <v>0.9</v>
      </c>
      <c r="Y4" s="1" t="s">
        <v>32</v>
      </c>
      <c r="Z4" s="2" t="e">
        <f>IF(AND($D$4/$D$3&gt;=0.7,$D$4/$D$3&lt;1),0,IF($D$4/$D$3&lt;0.7,1,IF($D$4/$D$3&gt;1,0)))</f>
        <v>#DIV/0!</v>
      </c>
    </row>
    <row r="5" spans="2:26" s="1" customFormat="1" ht="30" customHeight="1" thickBot="1" x14ac:dyDescent="0.3">
      <c r="B5" s="44"/>
      <c r="C5" s="20" t="s">
        <v>90</v>
      </c>
      <c r="D5" s="64"/>
      <c r="F5" s="23" t="s">
        <v>3</v>
      </c>
      <c r="G5" s="9" t="e">
        <f ca="1">D7*D20*D23</f>
        <v>#N/A</v>
      </c>
      <c r="H5" s="6"/>
      <c r="I5" s="14"/>
      <c r="J5" s="80"/>
      <c r="K5" s="80"/>
      <c r="L5" s="80"/>
      <c r="M5" s="80"/>
      <c r="N5" s="16"/>
      <c r="O5" s="52"/>
      <c r="P5" s="2">
        <v>1</v>
      </c>
      <c r="Q5" s="2">
        <v>1.05</v>
      </c>
      <c r="R5" s="26">
        <v>1</v>
      </c>
      <c r="S5" s="26"/>
      <c r="U5" s="7" t="s">
        <v>46</v>
      </c>
      <c r="V5" s="2">
        <v>0.9</v>
      </c>
      <c r="W5" s="1">
        <v>1</v>
      </c>
      <c r="Z5" s="2"/>
    </row>
    <row r="6" spans="2:26" s="1" customFormat="1" ht="30" customHeight="1" thickBot="1" x14ac:dyDescent="0.3">
      <c r="B6" s="44"/>
      <c r="C6" s="20" t="s">
        <v>89</v>
      </c>
      <c r="D6" s="68"/>
      <c r="F6" s="36"/>
      <c r="G6" s="36"/>
      <c r="H6" s="6"/>
      <c r="I6" s="14"/>
      <c r="J6" s="71"/>
      <c r="K6" s="71"/>
      <c r="L6" s="71"/>
      <c r="M6" s="71"/>
      <c r="N6" s="16"/>
      <c r="O6" s="52"/>
      <c r="P6" s="2">
        <v>2</v>
      </c>
      <c r="Q6" s="2">
        <v>1</v>
      </c>
      <c r="R6" s="2">
        <v>1</v>
      </c>
      <c r="S6" s="2"/>
      <c r="U6" s="7" t="s">
        <v>47</v>
      </c>
      <c r="V6" s="2">
        <v>1</v>
      </c>
      <c r="W6" s="1">
        <v>1.1000000000000001</v>
      </c>
      <c r="Z6" s="2"/>
    </row>
    <row r="7" spans="2:26" s="1" customFormat="1" ht="30" customHeight="1" thickBot="1" x14ac:dyDescent="0.3">
      <c r="B7" s="44"/>
      <c r="C7" s="19" t="s">
        <v>39</v>
      </c>
      <c r="D7" s="25">
        <f>IF(D4=0,(1-D6)*D3,(1-D6)*D4)</f>
        <v>0</v>
      </c>
      <c r="F7" s="23" t="s">
        <v>44</v>
      </c>
      <c r="G7" s="9" t="e">
        <f>D17*D21*D27</f>
        <v>#N/A</v>
      </c>
      <c r="I7" s="14"/>
      <c r="J7" s="15"/>
      <c r="K7" s="15"/>
      <c r="L7" s="15"/>
      <c r="M7" s="15"/>
      <c r="N7" s="16"/>
      <c r="O7" s="53"/>
      <c r="P7" s="2">
        <v>3</v>
      </c>
      <c r="Q7" s="2">
        <v>0.9</v>
      </c>
      <c r="R7" s="2">
        <v>0.9</v>
      </c>
      <c r="S7" s="2"/>
      <c r="U7" s="7" t="s">
        <v>48</v>
      </c>
      <c r="V7" s="2">
        <v>1.1000000000000001</v>
      </c>
      <c r="W7" s="1">
        <v>1.2</v>
      </c>
      <c r="Z7" s="2"/>
    </row>
    <row r="8" spans="2:26" s="1" customFormat="1" ht="30" customHeight="1" thickBot="1" x14ac:dyDescent="0.3">
      <c r="B8" s="44"/>
      <c r="H8" s="28"/>
      <c r="I8" s="14"/>
      <c r="J8" s="15"/>
      <c r="K8" s="15"/>
      <c r="L8" s="15"/>
      <c r="M8" s="15"/>
      <c r="N8" s="16"/>
      <c r="O8" s="54"/>
      <c r="P8" s="2">
        <v>4</v>
      </c>
      <c r="Q8" s="2">
        <v>0.8</v>
      </c>
      <c r="R8" s="2">
        <v>0.8</v>
      </c>
      <c r="S8" s="2"/>
      <c r="U8" s="7"/>
      <c r="V8" s="2"/>
      <c r="Z8" s="2"/>
    </row>
    <row r="9" spans="2:26" s="1" customFormat="1" ht="30" customHeight="1" thickBot="1" x14ac:dyDescent="0.3">
      <c r="B9" s="44"/>
      <c r="C9" s="21" t="s">
        <v>0</v>
      </c>
      <c r="D9" s="65"/>
      <c r="F9" s="24" t="s">
        <v>42</v>
      </c>
      <c r="G9" s="29" t="e">
        <f ca="1">G3+G5+G7</f>
        <v>#N/A</v>
      </c>
      <c r="I9" s="14"/>
      <c r="J9" s="15"/>
      <c r="K9" s="15"/>
      <c r="L9" s="15"/>
      <c r="M9" s="15"/>
      <c r="N9" s="16"/>
      <c r="O9" s="53"/>
      <c r="P9" s="2"/>
      <c r="Q9" s="2"/>
      <c r="R9" s="2"/>
      <c r="S9" s="2"/>
      <c r="U9" s="7"/>
      <c r="V9" s="2"/>
      <c r="Z9" s="2"/>
    </row>
    <row r="10" spans="2:26" s="1" customFormat="1" ht="30" customHeight="1" thickBot="1" x14ac:dyDescent="0.3">
      <c r="B10" s="44"/>
      <c r="D10" s="2"/>
      <c r="I10" s="14"/>
      <c r="J10" s="15"/>
      <c r="K10" s="15"/>
      <c r="L10" s="15"/>
      <c r="M10" s="15"/>
      <c r="N10" s="16"/>
      <c r="O10" s="53"/>
      <c r="P10" s="2"/>
      <c r="Q10" s="2"/>
      <c r="R10" s="2"/>
      <c r="S10" s="2"/>
      <c r="U10" s="7"/>
      <c r="V10" s="2"/>
      <c r="Z10" s="2"/>
    </row>
    <row r="11" spans="2:26" s="1" customFormat="1" ht="30" customHeight="1" thickBot="1" x14ac:dyDescent="0.3">
      <c r="B11" s="44"/>
      <c r="C11" s="22" t="s">
        <v>49</v>
      </c>
      <c r="D11" s="66"/>
      <c r="I11" s="14"/>
      <c r="J11" s="15"/>
      <c r="K11" s="15"/>
      <c r="L11" s="15"/>
      <c r="M11" s="15"/>
      <c r="N11" s="16"/>
      <c r="O11" s="53"/>
    </row>
    <row r="12" spans="2:26" s="1" customFormat="1" ht="30" customHeight="1" thickBot="1" x14ac:dyDescent="0.3">
      <c r="B12" s="44"/>
      <c r="D12" s="2"/>
      <c r="F12" s="73"/>
      <c r="G12" s="55"/>
      <c r="I12" s="14"/>
      <c r="J12" s="15"/>
      <c r="K12" s="15"/>
      <c r="L12" s="15"/>
      <c r="M12" s="15"/>
      <c r="N12" s="16"/>
      <c r="O12" s="53"/>
      <c r="P12" s="2"/>
      <c r="Q12" s="2"/>
      <c r="R12" s="2"/>
      <c r="S12" s="2"/>
      <c r="U12" s="7"/>
      <c r="V12" s="2"/>
      <c r="Z12" s="2"/>
    </row>
    <row r="13" spans="2:26" s="1" customFormat="1" ht="30" customHeight="1" thickBot="1" x14ac:dyDescent="0.3">
      <c r="B13" s="44"/>
      <c r="C13" s="22" t="s">
        <v>54</v>
      </c>
      <c r="D13" s="66"/>
      <c r="G13" s="55"/>
      <c r="I13" s="14"/>
      <c r="J13" s="83" t="s">
        <v>93</v>
      </c>
      <c r="K13" s="83"/>
      <c r="L13" s="83"/>
      <c r="M13" s="83"/>
      <c r="N13" s="16"/>
      <c r="O13" s="53"/>
      <c r="P13" s="2"/>
      <c r="Q13" s="2"/>
      <c r="R13" s="2"/>
      <c r="S13" s="2"/>
      <c r="U13" s="7"/>
      <c r="V13" s="2"/>
      <c r="Z13" s="2"/>
    </row>
    <row r="14" spans="2:26" s="1" customFormat="1" ht="30" customHeight="1" thickBot="1" x14ac:dyDescent="0.3">
      <c r="B14" s="44"/>
      <c r="D14" s="2"/>
      <c r="I14" s="14"/>
      <c r="J14" s="83"/>
      <c r="K14" s="83"/>
      <c r="L14" s="83"/>
      <c r="M14" s="83"/>
      <c r="N14" s="16"/>
      <c r="O14" s="53"/>
      <c r="P14" s="2"/>
      <c r="Q14" s="2"/>
      <c r="R14" s="2"/>
      <c r="S14" s="2"/>
      <c r="U14" s="7"/>
      <c r="V14" s="2"/>
      <c r="Z14" s="2"/>
    </row>
    <row r="15" spans="2:26" s="1" customFormat="1" ht="30" customHeight="1" thickBot="1" x14ac:dyDescent="0.3">
      <c r="B15" s="44"/>
      <c r="C15" s="22" t="s">
        <v>91</v>
      </c>
      <c r="D15" s="68"/>
      <c r="I15" s="14"/>
      <c r="J15" s="34"/>
      <c r="K15" s="34"/>
      <c r="L15" s="34"/>
      <c r="M15" s="34"/>
      <c r="N15" s="16"/>
      <c r="O15" s="53"/>
      <c r="P15" s="2"/>
      <c r="Q15" s="2"/>
      <c r="R15" s="2"/>
      <c r="S15" s="2"/>
      <c r="U15" s="7"/>
      <c r="V15" s="2"/>
      <c r="Z15" s="2"/>
    </row>
    <row r="16" spans="2:26" s="1" customFormat="1" ht="29.25" customHeight="1" thickBot="1" x14ac:dyDescent="0.25">
      <c r="B16" s="44"/>
      <c r="I16" s="75"/>
      <c r="J16" s="76"/>
      <c r="K16" s="76"/>
      <c r="L16" s="76"/>
      <c r="M16" s="76"/>
      <c r="N16" s="77"/>
      <c r="O16" s="53"/>
      <c r="P16" s="2"/>
      <c r="Q16" s="2"/>
      <c r="R16" s="2"/>
      <c r="S16" s="2"/>
      <c r="U16" s="7"/>
      <c r="V16" s="2"/>
      <c r="Z16" s="2"/>
    </row>
    <row r="17" spans="2:22" ht="30" customHeight="1" thickBot="1" x14ac:dyDescent="0.3">
      <c r="B17" s="45"/>
      <c r="C17" s="19" t="s">
        <v>61</v>
      </c>
      <c r="D17" s="25">
        <f>D35+D5</f>
        <v>0</v>
      </c>
      <c r="I17" s="17"/>
      <c r="J17" s="78"/>
      <c r="K17" s="79"/>
      <c r="L17" s="79"/>
      <c r="M17" s="79"/>
      <c r="N17" s="18"/>
      <c r="O17" s="51"/>
      <c r="U17" s="8"/>
      <c r="V17" s="4"/>
    </row>
    <row r="18" spans="2:22" ht="15.75" thickBot="1" x14ac:dyDescent="0.3">
      <c r="B18" s="46"/>
      <c r="C18" s="47"/>
      <c r="D18" s="47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U18" s="8"/>
      <c r="V18" s="4"/>
    </row>
    <row r="19" spans="2:22" ht="15.75" hidden="1" thickTop="1" x14ac:dyDescent="0.25">
      <c r="C19" s="1" t="s">
        <v>5</v>
      </c>
      <c r="D19" s="27">
        <v>1.5100000000000001E-2</v>
      </c>
      <c r="U19" s="8"/>
      <c r="V19" s="4"/>
    </row>
    <row r="20" spans="2:22" hidden="1" x14ac:dyDescent="0.25">
      <c r="C20" s="1" t="s">
        <v>33</v>
      </c>
      <c r="D20" s="27">
        <v>3.0200000000000001E-2</v>
      </c>
      <c r="U20" s="8"/>
      <c r="V20" s="4"/>
    </row>
    <row r="21" spans="2:22" hidden="1" x14ac:dyDescent="0.25">
      <c r="C21" s="1" t="s">
        <v>60</v>
      </c>
      <c r="D21" s="27">
        <v>1.5E-3</v>
      </c>
    </row>
    <row r="22" spans="2:22" hidden="1" x14ac:dyDescent="0.25">
      <c r="C22" s="3"/>
      <c r="D22" s="3"/>
    </row>
    <row r="23" spans="2:22" hidden="1" x14ac:dyDescent="0.25">
      <c r="C23" s="1" t="s">
        <v>4</v>
      </c>
      <c r="D23" s="2" t="e">
        <f ca="1">D33*D25</f>
        <v>#N/A</v>
      </c>
    </row>
    <row r="24" spans="2:22" hidden="1" x14ac:dyDescent="0.25"/>
    <row r="25" spans="2:22" hidden="1" x14ac:dyDescent="0.25">
      <c r="C25" s="1" t="s">
        <v>34</v>
      </c>
      <c r="D25" s="2" t="e">
        <f>VLOOKUP(D9,P3:Q8,2,FALSE)</f>
        <v>#N/A</v>
      </c>
    </row>
    <row r="26" spans="2:22" hidden="1" x14ac:dyDescent="0.25"/>
    <row r="27" spans="2:22" hidden="1" x14ac:dyDescent="0.25">
      <c r="C27" s="1" t="s">
        <v>55</v>
      </c>
      <c r="D27" s="2" t="e">
        <f>VLOOKUP(D9,P3:R8,3,FALSE)</f>
        <v>#N/A</v>
      </c>
    </row>
    <row r="28" spans="2:22" hidden="1" x14ac:dyDescent="0.25"/>
    <row r="29" spans="2:22" hidden="1" x14ac:dyDescent="0.25">
      <c r="C29" s="1" t="s">
        <v>56</v>
      </c>
      <c r="D29" s="2" t="e">
        <f>VLOOKUP(D11,U3:W7,2,FALSE)</f>
        <v>#N/A</v>
      </c>
    </row>
    <row r="30" spans="2:22" hidden="1" x14ac:dyDescent="0.25"/>
    <row r="31" spans="2:22" hidden="1" x14ac:dyDescent="0.25">
      <c r="C31" s="1" t="s">
        <v>57</v>
      </c>
      <c r="D31" s="2" t="e">
        <f>VLOOKUP(D13,U3:W7,3,FALSE)</f>
        <v>#N/A</v>
      </c>
    </row>
    <row r="32" spans="2:22" hidden="1" x14ac:dyDescent="0.25"/>
    <row r="33" spans="3:6" hidden="1" x14ac:dyDescent="0.25">
      <c r="C33" s="1" t="s">
        <v>58</v>
      </c>
      <c r="D33" s="2" t="e">
        <f ca="1">IF(TODAY()&lt;31/12/2022,D31,D29)</f>
        <v>#N/A</v>
      </c>
    </row>
    <row r="34" spans="3:6" hidden="1" x14ac:dyDescent="0.25"/>
    <row r="35" spans="3:6" hidden="1" x14ac:dyDescent="0.25">
      <c r="C35" s="1" t="s">
        <v>62</v>
      </c>
      <c r="D35" s="5">
        <f>D36*(D37-D38)/(D38-D39)</f>
        <v>0</v>
      </c>
    </row>
    <row r="36" spans="3:6" hidden="1" x14ac:dyDescent="0.25">
      <c r="C36" s="1" t="s">
        <v>63</v>
      </c>
      <c r="D36" s="5">
        <f>D5</f>
        <v>0</v>
      </c>
    </row>
    <row r="37" spans="3:6" hidden="1" x14ac:dyDescent="0.25">
      <c r="C37" s="1" t="s">
        <v>65</v>
      </c>
      <c r="D37" s="5">
        <f>D15</f>
        <v>0</v>
      </c>
    </row>
    <row r="38" spans="3:6" hidden="1" x14ac:dyDescent="0.25">
      <c r="C38" s="1" t="s">
        <v>66</v>
      </c>
      <c r="D38" s="2">
        <v>5</v>
      </c>
    </row>
    <row r="39" spans="3:6" hidden="1" x14ac:dyDescent="0.25">
      <c r="C39" s="1" t="s">
        <v>67</v>
      </c>
      <c r="D39" s="2">
        <v>1</v>
      </c>
    </row>
    <row r="40" spans="3:6" ht="15.75" thickTop="1" x14ac:dyDescent="0.25"/>
    <row r="43" spans="3:6" x14ac:dyDescent="0.25">
      <c r="F43" s="70"/>
    </row>
  </sheetData>
  <mergeCells count="4">
    <mergeCell ref="J4:M5"/>
    <mergeCell ref="J13:M14"/>
    <mergeCell ref="I16:N16"/>
    <mergeCell ref="J17:M17"/>
  </mergeCells>
  <dataValidations count="2">
    <dataValidation type="list" allowBlank="1" showInputMessage="1" showErrorMessage="1" sqref="D9" xr:uid="{00000000-0002-0000-0100-000000000000}">
      <formula1>$P$3:$P$8</formula1>
    </dataValidation>
    <dataValidation type="list" allowBlank="1" showInputMessage="1" showErrorMessage="1" sqref="D13 D11" xr:uid="{00000000-0002-0000-0100-000001000000}">
      <formula1>$U$3:$U$7</formula1>
    </dataValidation>
  </dataValidations>
  <pageMargins left="0.511811024" right="0.511811024" top="0.78740157499999996" bottom="0.78740157499999996" header="0.31496062000000002" footer="0.31496062000000002"/>
  <pageSetup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tabColor rgb="FFFF0000"/>
  </sheetPr>
  <dimension ref="B1:AA39"/>
  <sheetViews>
    <sheetView showGridLines="0" zoomScale="85" zoomScaleNormal="85" workbookViewId="0">
      <selection activeCell="D3" sqref="D3"/>
    </sheetView>
  </sheetViews>
  <sheetFormatPr defaultRowHeight="15" x14ac:dyDescent="0.25"/>
  <cols>
    <col min="1" max="2" width="4.7109375" style="3" customWidth="1"/>
    <col min="3" max="3" width="39.7109375" style="1" customWidth="1"/>
    <col min="4" max="4" width="24.42578125" style="2" customWidth="1"/>
    <col min="5" max="5" width="5.85546875" style="3" customWidth="1"/>
    <col min="6" max="6" width="27" style="3" customWidth="1"/>
    <col min="7" max="7" width="24.140625" style="3" customWidth="1"/>
    <col min="8" max="8" width="4.7109375" style="3" customWidth="1"/>
    <col min="9" max="14" width="11.28515625" style="3" customWidth="1"/>
    <col min="15" max="15" width="4.7109375" style="3" customWidth="1"/>
    <col min="16" max="16" width="5.7109375" style="3" customWidth="1"/>
    <col min="17" max="17" width="18.7109375" style="4" hidden="1" customWidth="1"/>
    <col min="18" max="18" width="10" style="4" hidden="1" customWidth="1"/>
    <col min="19" max="19" width="12" style="4" hidden="1" customWidth="1"/>
    <col min="20" max="20" width="9.140625" style="3" hidden="1" customWidth="1"/>
    <col min="21" max="21" width="20" style="3" hidden="1" customWidth="1"/>
    <col min="22" max="22" width="9.140625" style="3" hidden="1" customWidth="1"/>
    <col min="23" max="23" width="20.5703125" style="3" hidden="1" customWidth="1"/>
    <col min="24" max="24" width="7.85546875" style="3" hidden="1" customWidth="1"/>
    <col min="25" max="25" width="9.140625" style="3" hidden="1" customWidth="1"/>
    <col min="26" max="26" width="11.140625" style="3" hidden="1" customWidth="1"/>
    <col min="27" max="27" width="9.140625" style="4" hidden="1" customWidth="1"/>
    <col min="28" max="28" width="11.140625" style="3" customWidth="1"/>
    <col min="29" max="36" width="9.140625" style="3"/>
    <col min="37" max="37" width="4.7109375" style="3" customWidth="1"/>
    <col min="38" max="16384" width="9.140625" style="3"/>
  </cols>
  <sheetData>
    <row r="1" spans="2:27" ht="15.75" thickBot="1" x14ac:dyDescent="0.3"/>
    <row r="2" spans="2:27" ht="15" customHeight="1" thickTop="1" thickBot="1" x14ac:dyDescent="0.3">
      <c r="B2" s="39"/>
      <c r="C2" s="40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Q2" s="4" t="s">
        <v>6</v>
      </c>
      <c r="R2" s="4" t="s">
        <v>51</v>
      </c>
      <c r="S2" s="4" t="s">
        <v>52</v>
      </c>
      <c r="U2" s="3" t="s">
        <v>72</v>
      </c>
      <c r="V2" s="3" t="s">
        <v>71</v>
      </c>
      <c r="W2" s="3" t="s">
        <v>72</v>
      </c>
      <c r="X2" s="3" t="s">
        <v>73</v>
      </c>
      <c r="Z2" s="3" t="s">
        <v>30</v>
      </c>
      <c r="AA2" s="4" t="e">
        <f>IF(AND($D$4/$D$3&gt;=0.7,$D$4/$D$3&lt;1),0.2,IF($D$4/$D$3&lt;0.7,0.2,IF($D$4/$D$3&gt;1,0)))</f>
        <v>#DIV/0!</v>
      </c>
    </row>
    <row r="3" spans="2:27" s="1" customFormat="1" ht="30" customHeight="1" thickBot="1" x14ac:dyDescent="0.3">
      <c r="B3" s="44"/>
      <c r="C3" s="19" t="s">
        <v>37</v>
      </c>
      <c r="D3" s="63"/>
      <c r="F3" s="23" t="s">
        <v>2</v>
      </c>
      <c r="G3" s="9" t="e">
        <f>IF(D4=0,D3*D18*D22,(AA2*D3+AA3*D4+AA4*(0.7*D3-D4))*D18*D22)</f>
        <v>#N/A</v>
      </c>
      <c r="H3" s="36"/>
      <c r="I3" s="11"/>
      <c r="J3" s="12"/>
      <c r="K3" s="12"/>
      <c r="L3" s="12"/>
      <c r="M3" s="12"/>
      <c r="N3" s="13"/>
      <c r="O3" s="51"/>
      <c r="P3" s="6"/>
      <c r="Q3" s="2"/>
      <c r="R3" s="2"/>
      <c r="S3" s="2"/>
      <c r="Z3" s="1" t="s">
        <v>31</v>
      </c>
      <c r="AA3" s="2" t="e">
        <f>IF(AND($D$4/$D$3&gt;=0.7,$D$4/$D$3&lt;1),0.8,IF($D$4/$D$3&lt;0.7,0.8,IF($D$4/$D$3&gt;1,1)))</f>
        <v>#DIV/0!</v>
      </c>
    </row>
    <row r="4" spans="2:27" s="1" customFormat="1" ht="30" customHeight="1" thickBot="1" x14ac:dyDescent="0.3">
      <c r="B4" s="44"/>
      <c r="C4" s="20" t="s">
        <v>38</v>
      </c>
      <c r="D4" s="64"/>
      <c r="F4" s="38"/>
      <c r="G4" s="38"/>
      <c r="H4" s="38"/>
      <c r="I4" s="14"/>
      <c r="J4" s="80" t="s">
        <v>43</v>
      </c>
      <c r="K4" s="80"/>
      <c r="L4" s="80"/>
      <c r="M4" s="80"/>
      <c r="N4" s="16"/>
      <c r="O4" s="51"/>
      <c r="Q4" s="2" t="s">
        <v>7</v>
      </c>
      <c r="R4" s="2">
        <v>1.1000000000000001</v>
      </c>
      <c r="S4" s="26" t="s">
        <v>53</v>
      </c>
      <c r="U4" s="7" t="s">
        <v>74</v>
      </c>
      <c r="V4" s="2">
        <v>1</v>
      </c>
      <c r="W4" s="7" t="s">
        <v>74</v>
      </c>
      <c r="X4" s="2">
        <v>1</v>
      </c>
      <c r="Z4" s="1" t="s">
        <v>32</v>
      </c>
      <c r="AA4" s="2" t="e">
        <f>IF(AND($D$4/$D$3&gt;=0.7,$D$4/$D$3&lt;1),0,IF($D$4/$D$3&lt;0.7,1,IF($D$4/$D$3&gt;1,0)))</f>
        <v>#DIV/0!</v>
      </c>
    </row>
    <row r="5" spans="2:27" s="1" customFormat="1" ht="30" customHeight="1" thickBot="1" x14ac:dyDescent="0.3">
      <c r="B5" s="44"/>
      <c r="C5" s="20" t="s">
        <v>59</v>
      </c>
      <c r="D5" s="64"/>
      <c r="F5" s="23" t="s">
        <v>3</v>
      </c>
      <c r="G5" s="9" t="e">
        <f>D6*D19*D22</f>
        <v>#N/A</v>
      </c>
      <c r="H5" s="36"/>
      <c r="I5" s="14"/>
      <c r="J5" s="80"/>
      <c r="K5" s="80"/>
      <c r="L5" s="80"/>
      <c r="M5" s="80"/>
      <c r="N5" s="16"/>
      <c r="O5" s="51"/>
      <c r="P5" s="6"/>
      <c r="Q5" s="2">
        <v>1</v>
      </c>
      <c r="R5" s="2">
        <v>1.05</v>
      </c>
      <c r="S5" s="26" t="s">
        <v>53</v>
      </c>
      <c r="U5" s="7" t="s">
        <v>75</v>
      </c>
      <c r="V5" s="2">
        <v>0.95</v>
      </c>
      <c r="W5" s="7" t="s">
        <v>75</v>
      </c>
      <c r="X5" s="2">
        <v>0.95</v>
      </c>
      <c r="AA5" s="2"/>
    </row>
    <row r="6" spans="2:27" s="1" customFormat="1" ht="30" customHeight="1" thickBot="1" x14ac:dyDescent="0.3">
      <c r="B6" s="44"/>
      <c r="C6" s="19" t="s">
        <v>39</v>
      </c>
      <c r="D6" s="25">
        <f>IF(D4=0,D3-D5,D4-D5)</f>
        <v>0</v>
      </c>
      <c r="F6" s="38"/>
      <c r="G6" s="38"/>
      <c r="H6" s="38"/>
      <c r="I6" s="14"/>
      <c r="J6" s="15"/>
      <c r="K6" s="15"/>
      <c r="L6" s="15"/>
      <c r="M6" s="15"/>
      <c r="N6" s="16"/>
      <c r="O6" s="51"/>
      <c r="Q6" s="2">
        <v>2</v>
      </c>
      <c r="R6" s="2">
        <v>1</v>
      </c>
      <c r="S6" s="2">
        <v>1</v>
      </c>
      <c r="U6" s="7" t="s">
        <v>76</v>
      </c>
      <c r="V6" s="2">
        <v>0.9</v>
      </c>
      <c r="W6" s="7" t="s">
        <v>76</v>
      </c>
      <c r="X6" s="2">
        <v>0.9</v>
      </c>
      <c r="AA6" s="2"/>
    </row>
    <row r="7" spans="2:27" s="1" customFormat="1" ht="30" customHeight="1" thickBot="1" x14ac:dyDescent="0.3">
      <c r="B7" s="44"/>
      <c r="F7" s="23" t="s">
        <v>44</v>
      </c>
      <c r="G7" s="9" t="e">
        <f>D16*D20*D26</f>
        <v>#N/A</v>
      </c>
      <c r="H7" s="36"/>
      <c r="I7" s="14"/>
      <c r="J7" s="15"/>
      <c r="K7" s="15"/>
      <c r="L7" s="15"/>
      <c r="M7" s="15"/>
      <c r="N7" s="16"/>
      <c r="O7" s="51"/>
      <c r="P7" s="28"/>
      <c r="Q7" s="2">
        <v>3</v>
      </c>
      <c r="R7" s="2">
        <v>0.9</v>
      </c>
      <c r="S7" s="2">
        <v>0.9</v>
      </c>
      <c r="U7" s="7" t="s">
        <v>77</v>
      </c>
      <c r="V7" s="2">
        <v>0.85</v>
      </c>
      <c r="W7" s="7" t="s">
        <v>77</v>
      </c>
      <c r="X7" s="2">
        <v>0.85</v>
      </c>
      <c r="AA7" s="2"/>
    </row>
    <row r="8" spans="2:27" s="1" customFormat="1" ht="30" customHeight="1" thickBot="1" x14ac:dyDescent="0.3">
      <c r="B8" s="44"/>
      <c r="C8" s="21" t="s">
        <v>0</v>
      </c>
      <c r="D8" s="65"/>
      <c r="I8" s="14"/>
      <c r="J8" s="15"/>
      <c r="K8" s="15"/>
      <c r="L8" s="15"/>
      <c r="M8" s="15"/>
      <c r="N8" s="16"/>
      <c r="O8" s="51"/>
      <c r="Q8" s="2">
        <v>4</v>
      </c>
      <c r="R8" s="2">
        <v>0.8</v>
      </c>
      <c r="S8" s="2">
        <v>0.8</v>
      </c>
      <c r="U8" s="7" t="s">
        <v>78</v>
      </c>
      <c r="V8" s="2">
        <v>0.8</v>
      </c>
      <c r="W8" s="7" t="s">
        <v>78</v>
      </c>
      <c r="X8" s="2">
        <v>0.8</v>
      </c>
      <c r="AA8" s="2"/>
    </row>
    <row r="9" spans="2:27" s="1" customFormat="1" ht="30" customHeight="1" thickBot="1" x14ac:dyDescent="0.3">
      <c r="B9" s="44"/>
      <c r="D9" s="2"/>
      <c r="F9" s="24" t="s">
        <v>42</v>
      </c>
      <c r="G9" s="29" t="e">
        <f>G3+G5+G7</f>
        <v>#N/A</v>
      </c>
      <c r="H9" s="56"/>
      <c r="I9" s="14"/>
      <c r="J9" s="15"/>
      <c r="K9" s="15"/>
      <c r="L9" s="15"/>
      <c r="M9" s="15"/>
      <c r="N9" s="16"/>
      <c r="O9" s="51"/>
      <c r="Q9" s="2"/>
      <c r="R9" s="2"/>
      <c r="S9" s="2"/>
      <c r="U9" s="7" t="s">
        <v>79</v>
      </c>
      <c r="V9" s="2">
        <v>0.75</v>
      </c>
      <c r="W9" s="7" t="s">
        <v>79</v>
      </c>
      <c r="X9" s="2">
        <v>0.75</v>
      </c>
      <c r="AA9" s="2"/>
    </row>
    <row r="10" spans="2:27" s="1" customFormat="1" ht="30" customHeight="1" thickBot="1" x14ac:dyDescent="0.3">
      <c r="B10" s="44"/>
      <c r="C10" s="22" t="s">
        <v>69</v>
      </c>
      <c r="D10" s="66"/>
      <c r="I10" s="14"/>
      <c r="J10" s="15"/>
      <c r="K10" s="15"/>
      <c r="L10" s="15"/>
      <c r="M10" s="15"/>
      <c r="N10" s="16"/>
      <c r="O10" s="51"/>
      <c r="Q10" s="2"/>
      <c r="R10" s="2"/>
      <c r="S10" s="2"/>
      <c r="U10" s="7"/>
      <c r="V10" s="2"/>
      <c r="W10" s="2"/>
      <c r="AA10" s="2"/>
    </row>
    <row r="11" spans="2:27" s="1" customFormat="1" ht="30" customHeight="1" thickBot="1" x14ac:dyDescent="0.3">
      <c r="B11" s="44"/>
      <c r="D11" s="2"/>
      <c r="G11" s="55"/>
      <c r="H11" s="55"/>
      <c r="I11" s="14"/>
      <c r="J11" s="15"/>
      <c r="K11" s="15"/>
      <c r="L11" s="15"/>
      <c r="M11" s="15"/>
      <c r="N11" s="16"/>
      <c r="O11" s="51"/>
      <c r="Q11" s="2"/>
      <c r="R11" s="2"/>
      <c r="S11" s="2"/>
      <c r="U11" s="7"/>
      <c r="V11" s="2"/>
      <c r="W11" s="2"/>
      <c r="AA11" s="2"/>
    </row>
    <row r="12" spans="2:27" s="1" customFormat="1" ht="30" customHeight="1" thickBot="1" x14ac:dyDescent="0.3">
      <c r="B12" s="44"/>
      <c r="C12" s="22" t="s">
        <v>70</v>
      </c>
      <c r="D12" s="66"/>
      <c r="G12" s="55"/>
      <c r="H12" s="55"/>
      <c r="I12" s="14"/>
      <c r="J12" s="83" t="s">
        <v>93</v>
      </c>
      <c r="K12" s="83"/>
      <c r="L12" s="83"/>
      <c r="M12" s="83"/>
      <c r="N12" s="16"/>
      <c r="O12" s="51"/>
      <c r="Q12" s="2"/>
      <c r="R12" s="2"/>
      <c r="S12" s="2"/>
      <c r="U12" s="7"/>
      <c r="V12" s="2"/>
      <c r="W12" s="2"/>
      <c r="AA12" s="2"/>
    </row>
    <row r="13" spans="2:27" s="1" customFormat="1" ht="30" customHeight="1" thickBot="1" x14ac:dyDescent="0.3">
      <c r="B13" s="44"/>
      <c r="D13" s="2"/>
      <c r="I13" s="14"/>
      <c r="J13" s="83"/>
      <c r="K13" s="83"/>
      <c r="L13" s="83"/>
      <c r="M13" s="83"/>
      <c r="N13" s="16"/>
      <c r="O13" s="51"/>
      <c r="Q13" s="2"/>
      <c r="R13" s="2"/>
      <c r="S13" s="2"/>
      <c r="U13" s="7"/>
      <c r="V13" s="2"/>
      <c r="W13" s="2"/>
      <c r="AA13" s="2"/>
    </row>
    <row r="14" spans="2:27" s="1" customFormat="1" ht="30" customHeight="1" thickBot="1" x14ac:dyDescent="0.3">
      <c r="B14" s="44"/>
      <c r="C14" s="22" t="s">
        <v>68</v>
      </c>
      <c r="D14" s="63"/>
      <c r="I14" s="14"/>
      <c r="J14" s="34"/>
      <c r="K14" s="34"/>
      <c r="L14" s="34"/>
      <c r="M14" s="34"/>
      <c r="N14" s="16"/>
      <c r="O14" s="51"/>
      <c r="Q14" s="2"/>
      <c r="R14" s="2"/>
      <c r="S14" s="2"/>
      <c r="U14" s="7"/>
      <c r="V14" s="2"/>
      <c r="W14" s="2"/>
      <c r="AA14" s="2"/>
    </row>
    <row r="15" spans="2:27" s="1" customFormat="1" ht="29.25" customHeight="1" thickBot="1" x14ac:dyDescent="0.3">
      <c r="B15" s="44"/>
      <c r="I15" s="75"/>
      <c r="J15" s="76"/>
      <c r="K15" s="76"/>
      <c r="L15" s="76"/>
      <c r="M15" s="76"/>
      <c r="N15" s="77"/>
      <c r="O15" s="51"/>
      <c r="Q15" s="2"/>
      <c r="R15" s="2"/>
      <c r="S15" s="2"/>
      <c r="U15" s="7"/>
      <c r="V15" s="2"/>
      <c r="W15" s="2"/>
      <c r="AA15" s="2"/>
    </row>
    <row r="16" spans="2:27" ht="30" customHeight="1" thickBot="1" x14ac:dyDescent="0.3">
      <c r="B16" s="45"/>
      <c r="C16" s="19" t="s">
        <v>61</v>
      </c>
      <c r="D16" s="25">
        <f>D34+D5</f>
        <v>0</v>
      </c>
      <c r="I16" s="17"/>
      <c r="J16" s="78"/>
      <c r="K16" s="79"/>
      <c r="L16" s="79"/>
      <c r="M16" s="79"/>
      <c r="N16" s="18"/>
      <c r="O16" s="51"/>
      <c r="U16" s="8"/>
      <c r="V16" s="4"/>
      <c r="W16" s="4"/>
    </row>
    <row r="17" spans="2:23" ht="15.75" thickBot="1" x14ac:dyDescent="0.3">
      <c r="B17" s="46"/>
      <c r="C17" s="47"/>
      <c r="D17" s="47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U17" s="8"/>
      <c r="V17" s="4"/>
      <c r="W17" s="4"/>
    </row>
    <row r="18" spans="2:23" ht="15.75" hidden="1" thickTop="1" x14ac:dyDescent="0.25">
      <c r="C18" s="1" t="s">
        <v>5</v>
      </c>
      <c r="D18" s="27">
        <v>1.5100000000000001E-2</v>
      </c>
      <c r="U18" s="8"/>
      <c r="V18" s="4"/>
      <c r="W18" s="4"/>
    </row>
    <row r="19" spans="2:23" hidden="1" x14ac:dyDescent="0.25">
      <c r="C19" s="1" t="s">
        <v>33</v>
      </c>
      <c r="D19" s="27">
        <v>3.0200000000000001E-2</v>
      </c>
      <c r="U19" s="8"/>
      <c r="V19" s="4"/>
      <c r="W19" s="4"/>
    </row>
    <row r="20" spans="2:23" hidden="1" x14ac:dyDescent="0.25">
      <c r="C20" s="1" t="s">
        <v>60</v>
      </c>
      <c r="D20" s="27">
        <v>1.5E-3</v>
      </c>
    </row>
    <row r="21" spans="2:23" hidden="1" x14ac:dyDescent="0.25">
      <c r="C21" s="3"/>
      <c r="D21" s="3"/>
    </row>
    <row r="22" spans="2:23" hidden="1" x14ac:dyDescent="0.25">
      <c r="C22" s="1" t="s">
        <v>4</v>
      </c>
      <c r="D22" s="2" t="e">
        <f>D32*D24</f>
        <v>#N/A</v>
      </c>
    </row>
    <row r="23" spans="2:23" hidden="1" x14ac:dyDescent="0.25"/>
    <row r="24" spans="2:23" hidden="1" x14ac:dyDescent="0.25">
      <c r="C24" s="1" t="s">
        <v>34</v>
      </c>
      <c r="D24" s="2" t="e">
        <f>VLOOKUP(D8,Q3:R8,2,FALSE)</f>
        <v>#N/A</v>
      </c>
    </row>
    <row r="25" spans="2:23" hidden="1" x14ac:dyDescent="0.25"/>
    <row r="26" spans="2:23" hidden="1" x14ac:dyDescent="0.25">
      <c r="C26" s="1" t="s">
        <v>55</v>
      </c>
      <c r="D26" s="2" t="e">
        <f>VLOOKUP(D8,Q3:S8,3,FALSE)</f>
        <v>#N/A</v>
      </c>
    </row>
    <row r="27" spans="2:23" hidden="1" x14ac:dyDescent="0.25"/>
    <row r="28" spans="2:23" hidden="1" x14ac:dyDescent="0.25">
      <c r="C28" s="1" t="s">
        <v>71</v>
      </c>
      <c r="D28" s="2" t="e">
        <f>VLOOKUP(D10,U3:V9,2,FALSE)</f>
        <v>#N/A</v>
      </c>
    </row>
    <row r="29" spans="2:23" hidden="1" x14ac:dyDescent="0.25"/>
    <row r="30" spans="2:23" hidden="1" x14ac:dyDescent="0.25">
      <c r="C30" s="1" t="s">
        <v>73</v>
      </c>
      <c r="D30" s="2" t="e">
        <f>VLOOKUP(D12,W3:X9,2,FALSE)</f>
        <v>#N/A</v>
      </c>
    </row>
    <row r="31" spans="2:23" hidden="1" x14ac:dyDescent="0.25"/>
    <row r="32" spans="2:23" hidden="1" x14ac:dyDescent="0.25">
      <c r="C32" s="1" t="s">
        <v>58</v>
      </c>
      <c r="D32" s="2" t="e">
        <f>D28*D30</f>
        <v>#N/A</v>
      </c>
    </row>
    <row r="33" spans="3:4" hidden="1" x14ac:dyDescent="0.25"/>
    <row r="34" spans="3:4" hidden="1" x14ac:dyDescent="0.25">
      <c r="C34" s="1" t="s">
        <v>62</v>
      </c>
      <c r="D34" s="5">
        <f>D35*(D36-D37)/(D37-D38)</f>
        <v>0</v>
      </c>
    </row>
    <row r="35" spans="3:4" hidden="1" x14ac:dyDescent="0.25">
      <c r="C35" s="1" t="s">
        <v>63</v>
      </c>
      <c r="D35" s="5">
        <f>D5</f>
        <v>0</v>
      </c>
    </row>
    <row r="36" spans="3:4" hidden="1" x14ac:dyDescent="0.25">
      <c r="C36" s="1" t="s">
        <v>65</v>
      </c>
      <c r="D36" s="5">
        <f>D14</f>
        <v>0</v>
      </c>
    </row>
    <row r="37" spans="3:4" hidden="1" x14ac:dyDescent="0.25">
      <c r="C37" s="1" t="s">
        <v>66</v>
      </c>
      <c r="D37" s="2">
        <v>5</v>
      </c>
    </row>
    <row r="38" spans="3:4" hidden="1" x14ac:dyDescent="0.25">
      <c r="C38" s="1" t="s">
        <v>67</v>
      </c>
      <c r="D38" s="2">
        <v>1</v>
      </c>
    </row>
    <row r="39" spans="3:4" ht="15.75" thickTop="1" x14ac:dyDescent="0.25"/>
  </sheetData>
  <mergeCells count="4">
    <mergeCell ref="J4:M5"/>
    <mergeCell ref="I15:N15"/>
    <mergeCell ref="J16:M16"/>
    <mergeCell ref="J12:M13"/>
  </mergeCells>
  <dataValidations count="3">
    <dataValidation type="list" allowBlank="1" showInputMessage="1" showErrorMessage="1" sqref="D12" xr:uid="{00000000-0002-0000-0200-000000000000}">
      <formula1>$W$3:$W$9</formula1>
    </dataValidation>
    <dataValidation type="list" allowBlank="1" showInputMessage="1" showErrorMessage="1" sqref="D8" xr:uid="{00000000-0002-0000-0200-000001000000}">
      <formula1>$Q$3:$Q$8</formula1>
    </dataValidation>
    <dataValidation type="list" allowBlank="1" showInputMessage="1" showErrorMessage="1" sqref="D10" xr:uid="{00000000-0002-0000-0200-000002000000}">
      <formula1>$U$3:$U$9</formula1>
    </dataValidation>
  </dataValidations>
  <pageMargins left="0.511811024" right="0.511811024" top="0.78740157499999996" bottom="0.78740157499999996" header="0.31496062000000002" footer="0.31496062000000002"/>
  <pageSetup orientation="portrait" horizontalDpi="30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tabColor theme="9"/>
  </sheetPr>
  <dimension ref="B1:W31"/>
  <sheetViews>
    <sheetView showGridLines="0" zoomScale="115" zoomScaleNormal="115" workbookViewId="0">
      <selection activeCell="I13" sqref="I13:N14"/>
    </sheetView>
  </sheetViews>
  <sheetFormatPr defaultRowHeight="15" x14ac:dyDescent="0.25"/>
  <cols>
    <col min="1" max="2" width="4.7109375" style="3" customWidth="1"/>
    <col min="3" max="3" width="39.7109375" style="1" customWidth="1"/>
    <col min="4" max="4" width="24.42578125" style="2" customWidth="1"/>
    <col min="5" max="5" width="5.85546875" style="3" customWidth="1"/>
    <col min="6" max="6" width="27" style="3" customWidth="1"/>
    <col min="7" max="7" width="24.140625" style="3" customWidth="1"/>
    <col min="8" max="8" width="5.7109375" style="3" customWidth="1"/>
    <col min="9" max="11" width="10.7109375" style="4" customWidth="1"/>
    <col min="12" max="13" width="10.7109375" style="3" customWidth="1"/>
    <col min="14" max="14" width="10.7109375" style="4" customWidth="1"/>
    <col min="15" max="15" width="4.7109375" style="4" customWidth="1"/>
    <col min="16" max="16" width="9.140625" style="4" customWidth="1"/>
    <col min="17" max="22" width="9.140625" style="4" hidden="1" customWidth="1"/>
    <col min="23" max="23" width="10.85546875" style="4" hidden="1" customWidth="1"/>
    <col min="24" max="24" width="11.140625" style="3" customWidth="1"/>
    <col min="25" max="37" width="9.140625" style="3"/>
    <col min="38" max="38" width="4.7109375" style="3" customWidth="1"/>
    <col min="39" max="16384" width="9.140625" style="3"/>
  </cols>
  <sheetData>
    <row r="1" spans="2:23" ht="15.75" thickBot="1" x14ac:dyDescent="0.3"/>
    <row r="2" spans="2:23" ht="16.5" thickTop="1" thickBot="1" x14ac:dyDescent="0.3">
      <c r="B2" s="39"/>
      <c r="C2" s="40"/>
      <c r="D2" s="41"/>
      <c r="E2" s="42"/>
      <c r="F2" s="42"/>
      <c r="G2" s="42"/>
      <c r="H2" s="42"/>
      <c r="I2" s="57"/>
      <c r="J2" s="57"/>
      <c r="K2" s="57"/>
      <c r="L2" s="42"/>
      <c r="M2" s="42"/>
      <c r="N2" s="57"/>
      <c r="O2" s="58"/>
    </row>
    <row r="3" spans="2:23" ht="30" customHeight="1" thickBot="1" x14ac:dyDescent="0.3">
      <c r="B3" s="45"/>
      <c r="C3" s="19" t="s">
        <v>37</v>
      </c>
      <c r="D3" s="63"/>
      <c r="E3" s="1"/>
      <c r="F3" s="23" t="s">
        <v>2</v>
      </c>
      <c r="G3" s="9" t="e">
        <f>IF(D4=0,D3*D17*D21,(V4*D3+V5*D4+V6*(0.7*D3-D4))*D17*D21)</f>
        <v>#N/A</v>
      </c>
      <c r="I3" s="11"/>
      <c r="J3" s="12"/>
      <c r="K3" s="12"/>
      <c r="L3" s="12"/>
      <c r="M3" s="12"/>
      <c r="N3" s="13"/>
      <c r="O3" s="59"/>
    </row>
    <row r="4" spans="2:23" s="1" customFormat="1" ht="30" customHeight="1" thickBot="1" x14ac:dyDescent="0.3">
      <c r="B4" s="44"/>
      <c r="C4" s="20" t="s">
        <v>38</v>
      </c>
      <c r="D4" s="64"/>
      <c r="F4" s="38"/>
      <c r="G4" s="38"/>
      <c r="H4" s="6"/>
      <c r="I4" s="14"/>
      <c r="J4" s="80" t="s">
        <v>43</v>
      </c>
      <c r="K4" s="80"/>
      <c r="L4" s="80"/>
      <c r="M4" s="80"/>
      <c r="N4" s="16"/>
      <c r="O4" s="59"/>
      <c r="P4" s="2"/>
      <c r="Q4" s="4" t="s">
        <v>6</v>
      </c>
      <c r="R4" s="4" t="s">
        <v>51</v>
      </c>
      <c r="S4" s="4" t="s">
        <v>52</v>
      </c>
      <c r="T4" s="3"/>
      <c r="U4" s="3" t="s">
        <v>30</v>
      </c>
      <c r="V4" s="4" t="e">
        <f>IF(AND($D$4/$D$3&gt;=0.7,$D$4/$D$3&lt;1),0.2,IF($D$4/$D$3&lt;0.7,0.2,IF($D$4/$D$3&gt;1,0)))</f>
        <v>#DIV/0!</v>
      </c>
      <c r="W4" s="2"/>
    </row>
    <row r="5" spans="2:23" s="1" customFormat="1" ht="30" customHeight="1" thickBot="1" x14ac:dyDescent="0.3">
      <c r="B5" s="44"/>
      <c r="C5" s="19" t="s">
        <v>39</v>
      </c>
      <c r="D5" s="25">
        <f>IF(D4=0,D3,D4)</f>
        <v>0</v>
      </c>
      <c r="F5" s="23" t="s">
        <v>3</v>
      </c>
      <c r="G5" s="9" t="e">
        <f>D5*D18*D21</f>
        <v>#N/A</v>
      </c>
      <c r="I5" s="14"/>
      <c r="J5" s="80"/>
      <c r="K5" s="80"/>
      <c r="L5" s="80"/>
      <c r="M5" s="80"/>
      <c r="N5" s="16"/>
      <c r="O5" s="59"/>
      <c r="P5" s="2"/>
      <c r="Q5" s="2"/>
      <c r="R5" s="2"/>
      <c r="S5" s="2"/>
      <c r="U5" s="1" t="s">
        <v>31</v>
      </c>
      <c r="V5" s="2" t="e">
        <f>IF(AND($D$4/$D$3&gt;=0.7,$D$4/$D$3&lt;1),0.8,IF($D$4/$D$3&lt;0.7,0.8,IF($D$4/$D$3&gt;1,1)))</f>
        <v>#DIV/0!</v>
      </c>
      <c r="W5" s="2"/>
    </row>
    <row r="6" spans="2:23" s="1" customFormat="1" ht="30" customHeight="1" thickBot="1" x14ac:dyDescent="0.3">
      <c r="B6" s="44"/>
      <c r="F6" s="38"/>
      <c r="G6" s="38"/>
      <c r="H6" s="6"/>
      <c r="I6" s="14"/>
      <c r="J6" s="15"/>
      <c r="K6" s="15"/>
      <c r="L6" s="15"/>
      <c r="M6" s="15"/>
      <c r="N6" s="16"/>
      <c r="O6" s="59"/>
      <c r="P6" s="2"/>
      <c r="Q6" s="2" t="s">
        <v>7</v>
      </c>
      <c r="R6" s="2">
        <v>1.1000000000000001</v>
      </c>
      <c r="S6" s="26" t="s">
        <v>53</v>
      </c>
      <c r="U6" s="1" t="s">
        <v>32</v>
      </c>
      <c r="V6" s="2" t="e">
        <f>IF(AND($D$4/$D$3&gt;=0.7,$D$4/$D$3&lt;1),0,IF($D$4/$D$3&lt;0.7,1,IF($D$4/$D$3&gt;1,0)))</f>
        <v>#DIV/0!</v>
      </c>
      <c r="W6" s="2"/>
    </row>
    <row r="7" spans="2:23" s="1" customFormat="1" ht="30" customHeight="1" thickBot="1" x14ac:dyDescent="0.3">
      <c r="B7" s="44"/>
      <c r="C7" s="21" t="s">
        <v>0</v>
      </c>
      <c r="D7" s="65"/>
      <c r="F7" s="24" t="s">
        <v>42</v>
      </c>
      <c r="G7" s="29" t="e">
        <f>G3+G5</f>
        <v>#N/A</v>
      </c>
      <c r="H7" s="28"/>
      <c r="I7" s="14"/>
      <c r="J7" s="15"/>
      <c r="K7" s="15"/>
      <c r="L7" s="15"/>
      <c r="M7" s="15"/>
      <c r="N7" s="16"/>
      <c r="O7" s="59"/>
      <c r="P7" s="2"/>
      <c r="Q7" s="2">
        <v>1</v>
      </c>
      <c r="R7" s="2">
        <v>1.05</v>
      </c>
      <c r="S7" s="26" t="s">
        <v>53</v>
      </c>
      <c r="V7" s="2"/>
      <c r="W7" s="2"/>
    </row>
    <row r="8" spans="2:23" s="1" customFormat="1" ht="30" customHeight="1" x14ac:dyDescent="0.25">
      <c r="B8" s="44"/>
      <c r="D8" s="2"/>
      <c r="I8" s="14"/>
      <c r="J8" s="15"/>
      <c r="K8" s="15"/>
      <c r="L8" s="15"/>
      <c r="M8" s="15"/>
      <c r="N8" s="16"/>
      <c r="O8" s="59"/>
      <c r="P8" s="2"/>
      <c r="Q8" s="2">
        <v>2</v>
      </c>
      <c r="R8" s="2">
        <v>1</v>
      </c>
      <c r="S8" s="2">
        <v>1</v>
      </c>
      <c r="V8" s="2"/>
      <c r="W8" s="2"/>
    </row>
    <row r="9" spans="2:23" s="1" customFormat="1" ht="30" customHeight="1" x14ac:dyDescent="0.25">
      <c r="B9" s="44"/>
      <c r="I9" s="14"/>
      <c r="J9" s="15"/>
      <c r="K9" s="15"/>
      <c r="L9" s="15"/>
      <c r="M9" s="15"/>
      <c r="N9" s="16"/>
      <c r="O9" s="59"/>
      <c r="P9" s="2"/>
      <c r="Q9" s="2">
        <v>3</v>
      </c>
      <c r="R9" s="2">
        <v>0.9</v>
      </c>
      <c r="S9" s="2">
        <v>0.9</v>
      </c>
      <c r="V9" s="2"/>
      <c r="W9" s="2"/>
    </row>
    <row r="10" spans="2:23" s="1" customFormat="1" ht="30" customHeight="1" x14ac:dyDescent="0.25">
      <c r="B10" s="44"/>
      <c r="G10" s="55"/>
      <c r="I10" s="14"/>
      <c r="J10" s="15"/>
      <c r="K10" s="15"/>
      <c r="L10" s="15"/>
      <c r="M10" s="15"/>
      <c r="N10" s="16"/>
      <c r="O10" s="59"/>
      <c r="P10" s="2"/>
      <c r="Q10" s="2">
        <v>4</v>
      </c>
      <c r="R10" s="2">
        <v>0.8</v>
      </c>
      <c r="S10" s="2">
        <v>0.8</v>
      </c>
      <c r="T10" s="2"/>
      <c r="U10" s="2"/>
      <c r="V10" s="2"/>
      <c r="W10" s="2"/>
    </row>
    <row r="11" spans="2:23" s="1" customFormat="1" ht="30" customHeight="1" x14ac:dyDescent="0.25">
      <c r="B11" s="44"/>
      <c r="G11" s="55"/>
      <c r="I11" s="14"/>
      <c r="J11" s="83" t="s">
        <v>93</v>
      </c>
      <c r="K11" s="83"/>
      <c r="L11" s="83"/>
      <c r="M11" s="83"/>
      <c r="N11" s="16"/>
      <c r="O11" s="59"/>
      <c r="P11" s="2"/>
      <c r="Q11" s="2"/>
      <c r="R11" s="2"/>
      <c r="S11" s="2"/>
      <c r="T11" s="2"/>
      <c r="U11" s="2"/>
      <c r="V11" s="2"/>
      <c r="W11" s="2"/>
    </row>
    <row r="12" spans="2:23" s="1" customFormat="1" ht="30" customHeight="1" x14ac:dyDescent="0.25">
      <c r="B12" s="44"/>
      <c r="I12" s="14"/>
      <c r="J12" s="83"/>
      <c r="K12" s="83"/>
      <c r="L12" s="83"/>
      <c r="M12" s="83"/>
      <c r="N12" s="16"/>
      <c r="O12" s="59"/>
      <c r="P12" s="2"/>
      <c r="Q12" s="2"/>
      <c r="R12" s="2"/>
      <c r="S12" s="2"/>
      <c r="T12" s="2"/>
      <c r="U12" s="2"/>
      <c r="V12" s="2"/>
      <c r="W12" s="2"/>
    </row>
    <row r="13" spans="2:23" s="1" customFormat="1" ht="30" customHeight="1" x14ac:dyDescent="0.25">
      <c r="B13" s="44"/>
      <c r="I13" s="75"/>
      <c r="J13" s="76"/>
      <c r="K13" s="76"/>
      <c r="L13" s="76"/>
      <c r="M13" s="76"/>
      <c r="N13" s="77"/>
      <c r="O13" s="59"/>
      <c r="P13" s="2"/>
      <c r="Q13" s="2"/>
      <c r="R13" s="2"/>
      <c r="S13" s="2"/>
      <c r="T13" s="2"/>
      <c r="U13" s="2"/>
      <c r="V13" s="2"/>
      <c r="W13" s="2"/>
    </row>
    <row r="14" spans="2:23" s="1" customFormat="1" ht="29.25" customHeight="1" thickBot="1" x14ac:dyDescent="0.3">
      <c r="B14" s="44"/>
      <c r="I14" s="17"/>
      <c r="J14" s="78"/>
      <c r="K14" s="79"/>
      <c r="L14" s="79"/>
      <c r="M14" s="79"/>
      <c r="N14" s="18"/>
      <c r="O14" s="59"/>
      <c r="P14" s="2"/>
      <c r="Q14" s="2"/>
      <c r="R14" s="2"/>
      <c r="S14" s="2"/>
      <c r="T14" s="2"/>
      <c r="U14" s="2"/>
      <c r="V14" s="2"/>
      <c r="W14" s="2"/>
    </row>
    <row r="15" spans="2:23" ht="15.75" customHeight="1" thickBot="1" x14ac:dyDescent="0.3">
      <c r="B15" s="46"/>
      <c r="C15" s="49"/>
      <c r="D15" s="49"/>
      <c r="E15" s="49"/>
      <c r="F15" s="49"/>
      <c r="G15" s="49"/>
      <c r="H15" s="49"/>
      <c r="I15" s="60"/>
      <c r="J15" s="60"/>
      <c r="K15" s="60"/>
      <c r="L15" s="49"/>
      <c r="M15" s="49"/>
      <c r="N15" s="60"/>
      <c r="O15" s="61"/>
    </row>
    <row r="16" spans="2:23" ht="15.75" thickTop="1" x14ac:dyDescent="0.25">
      <c r="C16" s="3"/>
      <c r="D16" s="3"/>
    </row>
    <row r="17" spans="3:4" hidden="1" x14ac:dyDescent="0.25">
      <c r="C17" s="1" t="s">
        <v>5</v>
      </c>
      <c r="D17" s="27">
        <v>1.5100000000000001E-2</v>
      </c>
    </row>
    <row r="18" spans="3:4" hidden="1" x14ac:dyDescent="0.25">
      <c r="C18" s="1" t="s">
        <v>33</v>
      </c>
      <c r="D18" s="27">
        <v>3.0200000000000001E-2</v>
      </c>
    </row>
    <row r="19" spans="3:4" hidden="1" x14ac:dyDescent="0.25">
      <c r="C19" s="1" t="s">
        <v>60</v>
      </c>
      <c r="D19" s="27">
        <v>1.5E-3</v>
      </c>
    </row>
    <row r="20" spans="3:4" hidden="1" x14ac:dyDescent="0.25">
      <c r="C20" s="3"/>
      <c r="D20" s="3"/>
    </row>
    <row r="21" spans="3:4" hidden="1" x14ac:dyDescent="0.25">
      <c r="C21" s="1" t="s">
        <v>4</v>
      </c>
      <c r="D21" s="2" t="e">
        <f>0.1*D23</f>
        <v>#N/A</v>
      </c>
    </row>
    <row r="22" spans="3:4" hidden="1" x14ac:dyDescent="0.25"/>
    <row r="23" spans="3:4" hidden="1" x14ac:dyDescent="0.25">
      <c r="C23" s="1" t="s">
        <v>34</v>
      </c>
      <c r="D23" s="2" t="e">
        <f>VLOOKUP(D7,Q5:R10,2,FALSE)</f>
        <v>#N/A</v>
      </c>
    </row>
    <row r="24" spans="3:4" hidden="1" x14ac:dyDescent="0.25"/>
    <row r="25" spans="3:4" hidden="1" x14ac:dyDescent="0.25">
      <c r="C25" s="1" t="s">
        <v>55</v>
      </c>
      <c r="D25" s="2" t="e">
        <f>VLOOKUP(D7,Q5:S10,3,FALSE)</f>
        <v>#N/A</v>
      </c>
    </row>
    <row r="26" spans="3:4" hidden="1" x14ac:dyDescent="0.25"/>
    <row r="27" spans="3:4" hidden="1" x14ac:dyDescent="0.25">
      <c r="C27" s="1" t="s">
        <v>62</v>
      </c>
      <c r="D27" s="5">
        <f>D28*(D29-D30)/(D30-D31)</f>
        <v>0</v>
      </c>
    </row>
    <row r="28" spans="3:4" hidden="1" x14ac:dyDescent="0.25">
      <c r="C28" s="1" t="s">
        <v>63</v>
      </c>
      <c r="D28" s="5">
        <f>D9</f>
        <v>0</v>
      </c>
    </row>
    <row r="29" spans="3:4" hidden="1" x14ac:dyDescent="0.25">
      <c r="C29" s="1" t="s">
        <v>65</v>
      </c>
      <c r="D29" s="5">
        <f>D9</f>
        <v>0</v>
      </c>
    </row>
    <row r="30" spans="3:4" hidden="1" x14ac:dyDescent="0.25">
      <c r="C30" s="1" t="s">
        <v>66</v>
      </c>
      <c r="D30" s="2">
        <v>5</v>
      </c>
    </row>
    <row r="31" spans="3:4" hidden="1" x14ac:dyDescent="0.25">
      <c r="C31" s="1" t="s">
        <v>67</v>
      </c>
      <c r="D31" s="2">
        <v>1</v>
      </c>
    </row>
  </sheetData>
  <mergeCells count="4">
    <mergeCell ref="J4:M5"/>
    <mergeCell ref="J11:M12"/>
    <mergeCell ref="I13:N13"/>
    <mergeCell ref="J14:M14"/>
  </mergeCells>
  <dataValidations count="1">
    <dataValidation type="list" allowBlank="1" showInputMessage="1" showErrorMessage="1" sqref="D7" xr:uid="{00000000-0002-0000-0300-000000000000}">
      <formula1>$Q$5:$Q$10</formula1>
    </dataValidation>
  </dataValidations>
  <pageMargins left="0.511811024" right="0.511811024" top="0.78740157499999996" bottom="0.78740157499999996" header="0.31496062000000002" footer="0.31496062000000002"/>
  <pageSetup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tabColor rgb="FFFFC000"/>
  </sheetPr>
  <dimension ref="B1:AA30"/>
  <sheetViews>
    <sheetView showGridLines="0" zoomScale="85" zoomScaleNormal="85" workbookViewId="0">
      <selection activeCell="I15" sqref="I15:N16"/>
    </sheetView>
  </sheetViews>
  <sheetFormatPr defaultRowHeight="15" x14ac:dyDescent="0.25"/>
  <cols>
    <col min="1" max="2" width="4.7109375" style="3" customWidth="1"/>
    <col min="3" max="3" width="41.28515625" style="1" customWidth="1"/>
    <col min="4" max="4" width="24.42578125" style="2" customWidth="1"/>
    <col min="5" max="5" width="5.85546875" style="3" customWidth="1"/>
    <col min="6" max="6" width="27" style="3" customWidth="1"/>
    <col min="7" max="7" width="24.140625" style="3" customWidth="1"/>
    <col min="8" max="8" width="4.85546875" style="3" customWidth="1"/>
    <col min="9" max="11" width="10.5703125" style="4" customWidth="1"/>
    <col min="12" max="13" width="10.5703125" style="3" customWidth="1"/>
    <col min="14" max="14" width="10.5703125" style="4" customWidth="1"/>
    <col min="15" max="15" width="4.7109375" style="3" customWidth="1"/>
    <col min="16" max="16" width="9.140625" style="3"/>
    <col min="17" max="27" width="0" style="3" hidden="1" customWidth="1"/>
    <col min="28" max="28" width="9.140625" style="3"/>
    <col min="29" max="29" width="4.7109375" style="3" customWidth="1"/>
    <col min="30" max="16384" width="9.140625" style="3"/>
  </cols>
  <sheetData>
    <row r="1" spans="2:27" ht="15.75" thickBot="1" x14ac:dyDescent="0.3"/>
    <row r="2" spans="2:27" ht="15" customHeight="1" thickTop="1" thickBot="1" x14ac:dyDescent="0.3">
      <c r="B2" s="39"/>
      <c r="C2" s="40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V2" s="4" t="s">
        <v>6</v>
      </c>
      <c r="W2" s="4" t="s">
        <v>51</v>
      </c>
      <c r="X2" s="4" t="s">
        <v>52</v>
      </c>
      <c r="Z2" s="3" t="s">
        <v>30</v>
      </c>
      <c r="AA2" s="4" t="e">
        <f>IF(AND($D$4/$D$3&gt;=0.7,$D$4/$D$3&lt;1),0.2,IF($D$4/$D$3&lt;0.7,0.2,IF($D$4/$D$3&gt;1,0)))</f>
        <v>#DIV/0!</v>
      </c>
    </row>
    <row r="3" spans="2:27" s="1" customFormat="1" ht="30" customHeight="1" thickBot="1" x14ac:dyDescent="0.3">
      <c r="B3" s="44"/>
      <c r="C3" s="19" t="s">
        <v>37</v>
      </c>
      <c r="D3" s="63"/>
      <c r="F3" s="23" t="s">
        <v>2</v>
      </c>
      <c r="G3" s="9" t="e">
        <f>IF(D4=0,D3*D18*D22,(AA2*D3+AA3*D4+AA4*(0.7*D3-D4))*D18*D22)</f>
        <v>#N/A</v>
      </c>
      <c r="H3" s="6"/>
      <c r="I3" s="11"/>
      <c r="J3" s="12"/>
      <c r="K3" s="12"/>
      <c r="L3" s="12"/>
      <c r="M3" s="12"/>
      <c r="N3" s="13"/>
      <c r="O3" s="53"/>
      <c r="V3" s="2"/>
      <c r="W3" s="2"/>
      <c r="X3" s="2"/>
      <c r="Z3" s="1" t="s">
        <v>31</v>
      </c>
      <c r="AA3" s="2" t="e">
        <f>IF(AND($D$4/$D$3&gt;=0.7,$D$4/$D$3&lt;1),0.8,IF($D$4/$D$3&lt;0.7,0.8,IF($D$4/$D$3&gt;1,1)))</f>
        <v>#DIV/0!</v>
      </c>
    </row>
    <row r="4" spans="2:27" s="1" customFormat="1" ht="30" customHeight="1" thickBot="1" x14ac:dyDescent="0.3">
      <c r="B4" s="44"/>
      <c r="C4" s="20" t="s">
        <v>38</v>
      </c>
      <c r="D4" s="64"/>
      <c r="F4" s="38"/>
      <c r="G4" s="38"/>
      <c r="I4" s="14"/>
      <c r="J4" s="80" t="s">
        <v>43</v>
      </c>
      <c r="K4" s="80"/>
      <c r="L4" s="80"/>
      <c r="M4" s="80"/>
      <c r="N4" s="16"/>
      <c r="O4" s="53"/>
      <c r="V4" s="2" t="s">
        <v>7</v>
      </c>
      <c r="W4" s="2">
        <v>1.1000000000000001</v>
      </c>
      <c r="X4" s="26" t="s">
        <v>53</v>
      </c>
      <c r="Z4" s="1" t="s">
        <v>32</v>
      </c>
      <c r="AA4" s="2" t="e">
        <f>IF(AND($D$4/$D$3&gt;=0.7,$D$4/$D$3&lt;1),0,IF($D$4/$D$3&lt;0.7,1,IF($D$4/$D$3&gt;1,0)))</f>
        <v>#DIV/0!</v>
      </c>
    </row>
    <row r="5" spans="2:27" s="1" customFormat="1" ht="30" customHeight="1" thickBot="1" x14ac:dyDescent="0.3">
      <c r="B5" s="44"/>
      <c r="C5" s="20" t="s">
        <v>59</v>
      </c>
      <c r="D5" s="64"/>
      <c r="F5" s="23" t="s">
        <v>3</v>
      </c>
      <c r="G5" s="9" t="e">
        <f>D6*D19*D22</f>
        <v>#N/A</v>
      </c>
      <c r="H5" s="6"/>
      <c r="I5" s="14"/>
      <c r="J5" s="80"/>
      <c r="K5" s="80"/>
      <c r="L5" s="80"/>
      <c r="M5" s="80"/>
      <c r="N5" s="16"/>
      <c r="O5" s="53"/>
      <c r="V5" s="2">
        <v>1</v>
      </c>
      <c r="W5" s="2">
        <v>1.05</v>
      </c>
      <c r="X5" s="26" t="s">
        <v>53</v>
      </c>
      <c r="AA5" s="2"/>
    </row>
    <row r="6" spans="2:27" s="1" customFormat="1" ht="30" customHeight="1" thickBot="1" x14ac:dyDescent="0.3">
      <c r="B6" s="44"/>
      <c r="C6" s="19" t="s">
        <v>39</v>
      </c>
      <c r="D6" s="25">
        <f>IF(D4=0,D3-D5,D4-D5)</f>
        <v>0</v>
      </c>
      <c r="F6" s="38"/>
      <c r="G6" s="38"/>
      <c r="I6" s="14"/>
      <c r="J6" s="15"/>
      <c r="K6" s="15"/>
      <c r="L6" s="15"/>
      <c r="M6" s="15"/>
      <c r="N6" s="16"/>
      <c r="O6" s="53"/>
      <c r="V6" s="2">
        <v>2</v>
      </c>
      <c r="W6" s="2">
        <v>1</v>
      </c>
      <c r="X6" s="2">
        <v>1</v>
      </c>
      <c r="AA6" s="2"/>
    </row>
    <row r="7" spans="2:27" s="1" customFormat="1" ht="30" customHeight="1" thickBot="1" x14ac:dyDescent="0.3">
      <c r="B7" s="44"/>
      <c r="F7" s="23" t="s">
        <v>44</v>
      </c>
      <c r="G7" s="9" t="e">
        <f>D16*D20*D26</f>
        <v>#N/A</v>
      </c>
      <c r="H7" s="28"/>
      <c r="I7" s="14"/>
      <c r="J7" s="15"/>
      <c r="K7" s="15"/>
      <c r="L7" s="15"/>
      <c r="M7" s="15"/>
      <c r="N7" s="16"/>
      <c r="O7" s="53"/>
      <c r="V7" s="2">
        <v>3</v>
      </c>
      <c r="W7" s="2">
        <v>0.9</v>
      </c>
      <c r="X7" s="2">
        <v>0.9</v>
      </c>
      <c r="AA7" s="2"/>
    </row>
    <row r="8" spans="2:27" s="1" customFormat="1" ht="30" customHeight="1" thickBot="1" x14ac:dyDescent="0.3">
      <c r="B8" s="44"/>
      <c r="C8" s="21" t="s">
        <v>0</v>
      </c>
      <c r="D8" s="65"/>
      <c r="I8" s="14"/>
      <c r="J8" s="15"/>
      <c r="K8" s="15"/>
      <c r="L8" s="15"/>
      <c r="M8" s="15"/>
      <c r="N8" s="16"/>
      <c r="O8" s="53"/>
      <c r="V8" s="2">
        <v>4</v>
      </c>
      <c r="W8" s="2">
        <v>0.8</v>
      </c>
      <c r="X8" s="2">
        <v>0.8</v>
      </c>
      <c r="AA8" s="2"/>
    </row>
    <row r="9" spans="2:27" s="1" customFormat="1" ht="30" customHeight="1" thickBot="1" x14ac:dyDescent="0.3">
      <c r="B9" s="44"/>
      <c r="D9" s="2"/>
      <c r="F9" s="24" t="s">
        <v>42</v>
      </c>
      <c r="G9" s="29" t="e">
        <f>G3+G5+G7</f>
        <v>#N/A</v>
      </c>
      <c r="I9" s="14"/>
      <c r="J9" s="15"/>
      <c r="K9" s="15"/>
      <c r="L9" s="15"/>
      <c r="M9" s="15"/>
      <c r="N9" s="16"/>
      <c r="O9" s="53"/>
    </row>
    <row r="10" spans="2:27" s="1" customFormat="1" ht="30" customHeight="1" thickBot="1" x14ac:dyDescent="0.3">
      <c r="B10" s="44"/>
      <c r="C10" s="22" t="s">
        <v>80</v>
      </c>
      <c r="D10" s="67"/>
      <c r="I10" s="14"/>
      <c r="J10" s="15"/>
      <c r="K10" s="15"/>
      <c r="L10" s="15"/>
      <c r="M10" s="15"/>
      <c r="N10" s="16"/>
      <c r="O10" s="53"/>
    </row>
    <row r="11" spans="2:27" s="1" customFormat="1" ht="30" customHeight="1" thickBot="1" x14ac:dyDescent="0.3">
      <c r="B11" s="44"/>
      <c r="G11" s="55"/>
      <c r="I11" s="14"/>
      <c r="J11" s="15"/>
      <c r="K11" s="15"/>
      <c r="L11" s="15"/>
      <c r="M11" s="15"/>
      <c r="N11" s="16"/>
      <c r="O11" s="53"/>
    </row>
    <row r="12" spans="2:27" s="1" customFormat="1" ht="30" customHeight="1" thickBot="1" x14ac:dyDescent="0.3">
      <c r="B12" s="44"/>
      <c r="C12" s="22" t="s">
        <v>81</v>
      </c>
      <c r="D12" s="68"/>
      <c r="G12" s="62"/>
      <c r="I12" s="14"/>
      <c r="J12" s="83" t="s">
        <v>93</v>
      </c>
      <c r="K12" s="83"/>
      <c r="L12" s="83"/>
      <c r="M12" s="83"/>
      <c r="N12" s="16"/>
      <c r="O12" s="53"/>
    </row>
    <row r="13" spans="2:27" s="1" customFormat="1" ht="30" customHeight="1" thickBot="1" x14ac:dyDescent="0.3">
      <c r="B13" s="44"/>
      <c r="I13" s="14"/>
      <c r="J13" s="83"/>
      <c r="K13" s="83"/>
      <c r="L13" s="83"/>
      <c r="M13" s="83"/>
      <c r="N13" s="16"/>
      <c r="O13" s="53"/>
    </row>
    <row r="14" spans="2:27" s="1" customFormat="1" ht="30" customHeight="1" thickBot="1" x14ac:dyDescent="0.3">
      <c r="B14" s="44"/>
      <c r="C14" s="22" t="s">
        <v>85</v>
      </c>
      <c r="D14" s="68"/>
      <c r="I14" s="14"/>
      <c r="J14" s="34"/>
      <c r="K14" s="34"/>
      <c r="L14" s="34"/>
      <c r="M14" s="34"/>
      <c r="N14" s="16"/>
      <c r="O14" s="53"/>
    </row>
    <row r="15" spans="2:27" s="1" customFormat="1" ht="29.25" customHeight="1" thickBot="1" x14ac:dyDescent="0.25">
      <c r="B15" s="44"/>
      <c r="I15" s="75"/>
      <c r="J15" s="76"/>
      <c r="K15" s="76"/>
      <c r="L15" s="76"/>
      <c r="M15" s="76"/>
      <c r="N15" s="77"/>
      <c r="O15" s="53"/>
    </row>
    <row r="16" spans="2:27" ht="30" customHeight="1" thickBot="1" x14ac:dyDescent="0.3">
      <c r="B16" s="45"/>
      <c r="C16" s="19" t="s">
        <v>61</v>
      </c>
      <c r="D16" s="25">
        <f>D14/0.000075*365</f>
        <v>0</v>
      </c>
      <c r="F16" s="30"/>
      <c r="I16" s="17"/>
      <c r="J16" s="78"/>
      <c r="K16" s="79"/>
      <c r="L16" s="79"/>
      <c r="M16" s="79"/>
      <c r="N16" s="18"/>
      <c r="O16" s="51"/>
    </row>
    <row r="17" spans="2:15" ht="15.75" thickBot="1" x14ac:dyDescent="0.3">
      <c r="B17" s="46"/>
      <c r="C17" s="47"/>
      <c r="D17" s="48"/>
      <c r="E17" s="49"/>
      <c r="F17" s="49"/>
      <c r="G17" s="49"/>
      <c r="H17" s="49"/>
      <c r="I17" s="60"/>
      <c r="J17" s="60"/>
      <c r="K17" s="60"/>
      <c r="L17" s="49"/>
      <c r="M17" s="49"/>
      <c r="N17" s="60"/>
      <c r="O17" s="50"/>
    </row>
    <row r="18" spans="2:15" ht="15.75" hidden="1" thickTop="1" x14ac:dyDescent="0.25">
      <c r="C18" s="1" t="s">
        <v>5</v>
      </c>
      <c r="D18" s="27">
        <v>1.5100000000000001E-2</v>
      </c>
    </row>
    <row r="19" spans="2:15" hidden="1" x14ac:dyDescent="0.25">
      <c r="C19" s="1" t="s">
        <v>33</v>
      </c>
      <c r="D19" s="27">
        <v>3.0200000000000001E-2</v>
      </c>
    </row>
    <row r="20" spans="2:15" hidden="1" x14ac:dyDescent="0.25">
      <c r="C20" s="1" t="s">
        <v>60</v>
      </c>
      <c r="D20" s="27">
        <v>1.5E-3</v>
      </c>
      <c r="F20" s="32"/>
    </row>
    <row r="21" spans="2:15" hidden="1" x14ac:dyDescent="0.25">
      <c r="C21" s="3"/>
      <c r="D21" s="3"/>
      <c r="G21" s="30"/>
    </row>
    <row r="22" spans="2:15" hidden="1" x14ac:dyDescent="0.25">
      <c r="C22" s="1" t="s">
        <v>4</v>
      </c>
      <c r="D22" s="2" t="e">
        <f>0.1*D24</f>
        <v>#N/A</v>
      </c>
    </row>
    <row r="23" spans="2:15" hidden="1" x14ac:dyDescent="0.25"/>
    <row r="24" spans="2:15" hidden="1" x14ac:dyDescent="0.25">
      <c r="C24" s="1" t="s">
        <v>34</v>
      </c>
      <c r="D24" s="2" t="e">
        <f>VLOOKUP(D8,V3:W8,2,FALSE)</f>
        <v>#N/A</v>
      </c>
    </row>
    <row r="25" spans="2:15" hidden="1" x14ac:dyDescent="0.25"/>
    <row r="26" spans="2:15" hidden="1" x14ac:dyDescent="0.25">
      <c r="C26" s="1" t="s">
        <v>55</v>
      </c>
      <c r="D26" s="2" t="e">
        <f>VLOOKUP(D8,V3:X8,3,FALSE)</f>
        <v>#N/A</v>
      </c>
      <c r="G26" s="30"/>
    </row>
    <row r="27" spans="2:15" hidden="1" x14ac:dyDescent="0.25"/>
    <row r="28" spans="2:15" hidden="1" x14ac:dyDescent="0.25">
      <c r="C28" s="1" t="s">
        <v>84</v>
      </c>
      <c r="D28" s="31">
        <v>0.05</v>
      </c>
      <c r="E28" s="3" t="s">
        <v>82</v>
      </c>
    </row>
    <row r="29" spans="2:15" hidden="1" x14ac:dyDescent="0.25">
      <c r="D29" s="33">
        <f>5*10^-5</f>
        <v>5.0000000000000002E-5</v>
      </c>
      <c r="E29" s="3" t="s">
        <v>83</v>
      </c>
    </row>
    <row r="30" spans="2:15" ht="15.75" thickTop="1" x14ac:dyDescent="0.25">
      <c r="D30" s="5"/>
      <c r="G30" s="30"/>
    </row>
  </sheetData>
  <mergeCells count="4">
    <mergeCell ref="J4:M5"/>
    <mergeCell ref="J12:M13"/>
    <mergeCell ref="I15:N15"/>
    <mergeCell ref="J16:M16"/>
  </mergeCells>
  <dataValidations count="1">
    <dataValidation type="list" allowBlank="1" showInputMessage="1" showErrorMessage="1" sqref="D8" xr:uid="{00000000-0002-0000-0400-000000000000}">
      <formula1>$V$3:$V$8</formula1>
    </dataValidation>
  </dataValidations>
  <pageMargins left="0.511811024" right="0.511811024" top="0.78740157499999996" bottom="0.78740157499999996" header="0.31496062000000002" footer="0.31496062000000002"/>
  <pageSetup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7030A0"/>
  </sheetPr>
  <dimension ref="B1:X24"/>
  <sheetViews>
    <sheetView showGridLines="0" zoomScale="90" zoomScaleNormal="90" workbookViewId="0">
      <selection activeCell="J12" sqref="J12:M13"/>
    </sheetView>
  </sheetViews>
  <sheetFormatPr defaultRowHeight="15" x14ac:dyDescent="0.25"/>
  <cols>
    <col min="1" max="2" width="4.7109375" style="3" customWidth="1"/>
    <col min="3" max="3" width="36" style="1" customWidth="1"/>
    <col min="4" max="4" width="24.42578125" style="2" customWidth="1"/>
    <col min="5" max="5" width="5.85546875" style="3" customWidth="1"/>
    <col min="6" max="6" width="27" style="3" customWidth="1"/>
    <col min="7" max="7" width="24.140625" style="3" customWidth="1"/>
    <col min="8" max="8" width="5.7109375" style="3" customWidth="1"/>
    <col min="9" max="13" width="9.7109375" style="4" customWidth="1"/>
    <col min="14" max="14" width="9.7109375" style="3" customWidth="1"/>
    <col min="15" max="15" width="5" style="3" customWidth="1"/>
    <col min="16" max="21" width="0" style="3" hidden="1" customWidth="1"/>
    <col min="22" max="22" width="4.7109375" style="3" hidden="1" customWidth="1"/>
    <col min="23" max="24" width="0" style="3" hidden="1" customWidth="1"/>
    <col min="25" max="16384" width="9.140625" style="3"/>
  </cols>
  <sheetData>
    <row r="1" spans="2:24" ht="15.75" thickBot="1" x14ac:dyDescent="0.3"/>
    <row r="2" spans="2:24" ht="15" customHeight="1" thickTop="1" thickBot="1" x14ac:dyDescent="0.3">
      <c r="B2" s="39"/>
      <c r="C2" s="40"/>
      <c r="D2" s="41"/>
      <c r="E2" s="42"/>
      <c r="F2" s="42"/>
      <c r="G2" s="42"/>
      <c r="H2" s="42"/>
      <c r="I2" s="57"/>
      <c r="J2" s="57"/>
      <c r="K2" s="57"/>
      <c r="L2" s="57"/>
      <c r="M2" s="57"/>
      <c r="N2" s="42"/>
      <c r="O2" s="43"/>
      <c r="Q2" s="4" t="s">
        <v>6</v>
      </c>
      <c r="R2" s="4" t="s">
        <v>51</v>
      </c>
      <c r="S2" s="4"/>
      <c r="T2" s="4" t="s">
        <v>86</v>
      </c>
      <c r="U2" s="4" t="s">
        <v>87</v>
      </c>
      <c r="W2" s="3" t="s">
        <v>30</v>
      </c>
      <c r="X2" s="4" t="e">
        <f>IF(AND($D$4/$D$3&gt;=0.7,$D$4/$D$3&lt;1),0.2,IF($D$4/$D$3&lt;0.7,0.2,IF($D$4/$D$3&gt;1,0)))</f>
        <v>#DIV/0!</v>
      </c>
    </row>
    <row r="3" spans="2:24" s="1" customFormat="1" ht="30" customHeight="1" thickBot="1" x14ac:dyDescent="0.3">
      <c r="B3" s="44"/>
      <c r="C3" s="19" t="s">
        <v>37</v>
      </c>
      <c r="D3" s="63"/>
      <c r="F3" s="23" t="s">
        <v>2</v>
      </c>
      <c r="G3" s="9" t="e">
        <f>D3*D18*D22*D24</f>
        <v>#N/A</v>
      </c>
      <c r="H3" s="6"/>
      <c r="I3" s="11"/>
      <c r="J3" s="12"/>
      <c r="K3" s="12"/>
      <c r="L3" s="12"/>
      <c r="M3" s="12"/>
      <c r="N3" s="13"/>
      <c r="O3" s="53"/>
      <c r="Q3" s="2"/>
      <c r="R3" s="2"/>
      <c r="S3" s="2"/>
      <c r="T3" s="2"/>
      <c r="U3" s="2"/>
      <c r="W3" s="1" t="s">
        <v>31</v>
      </c>
      <c r="X3" s="2" t="e">
        <f>IF(AND($D$4/$D$3&gt;=0.7,$D$4/$D$3&lt;1),0.8,IF($D$4/$D$3&lt;0.7,0.8,IF($D$4/$D$3&gt;1,1)))</f>
        <v>#DIV/0!</v>
      </c>
    </row>
    <row r="4" spans="2:24" s="1" customFormat="1" ht="30" customHeight="1" thickBot="1" x14ac:dyDescent="0.3">
      <c r="B4" s="44"/>
      <c r="C4" s="20" t="s">
        <v>38</v>
      </c>
      <c r="D4" s="64"/>
      <c r="F4" s="38"/>
      <c r="G4" s="38"/>
      <c r="I4" s="14"/>
      <c r="J4" s="80" t="s">
        <v>43</v>
      </c>
      <c r="K4" s="80"/>
      <c r="L4" s="80"/>
      <c r="M4" s="80"/>
      <c r="N4" s="16"/>
      <c r="O4" s="53"/>
      <c r="Q4" s="2" t="s">
        <v>7</v>
      </c>
      <c r="R4" s="2">
        <v>1.1000000000000001</v>
      </c>
      <c r="S4" s="2"/>
      <c r="T4" s="2" t="s">
        <v>28</v>
      </c>
      <c r="U4" s="26">
        <v>0.5</v>
      </c>
      <c r="W4" s="1" t="s">
        <v>32</v>
      </c>
      <c r="X4" s="2" t="e">
        <f>IF(AND($D$4/$D$3&gt;=0.7,$D$4/$D$3&lt;1),0,IF($D$4/$D$3&lt;0.7,1,IF($D$4/$D$3&gt;1,0)))</f>
        <v>#DIV/0!</v>
      </c>
    </row>
    <row r="5" spans="2:24" s="1" customFormat="1" ht="30" customHeight="1" thickBot="1" x14ac:dyDescent="0.3">
      <c r="B5" s="44"/>
      <c r="C5" s="19" t="s">
        <v>39</v>
      </c>
      <c r="D5" s="25">
        <f>D3</f>
        <v>0</v>
      </c>
      <c r="F5" s="23" t="s">
        <v>3</v>
      </c>
      <c r="G5" s="9" t="e">
        <f>D5*D19*D22*D24</f>
        <v>#N/A</v>
      </c>
      <c r="H5" s="6"/>
      <c r="I5" s="14"/>
      <c r="J5" s="80"/>
      <c r="K5" s="80"/>
      <c r="L5" s="80"/>
      <c r="M5" s="80"/>
      <c r="N5" s="16"/>
      <c r="O5" s="53"/>
      <c r="Q5" s="2">
        <v>1</v>
      </c>
      <c r="R5" s="2">
        <v>1.05</v>
      </c>
      <c r="S5" s="2"/>
      <c r="T5" s="2" t="s">
        <v>29</v>
      </c>
      <c r="U5" s="26">
        <v>1</v>
      </c>
      <c r="X5" s="2"/>
    </row>
    <row r="6" spans="2:24" s="1" customFormat="1" ht="30" customHeight="1" thickBot="1" x14ac:dyDescent="0.3">
      <c r="B6" s="44"/>
      <c r="F6" s="38"/>
      <c r="G6" s="38"/>
      <c r="I6" s="14"/>
      <c r="J6" s="15"/>
      <c r="K6" s="15"/>
      <c r="L6" s="15"/>
      <c r="M6" s="15"/>
      <c r="N6" s="16"/>
      <c r="O6" s="53"/>
      <c r="Q6" s="2">
        <v>2</v>
      </c>
      <c r="R6" s="2">
        <v>1</v>
      </c>
      <c r="S6" s="2"/>
      <c r="T6" s="2"/>
      <c r="U6" s="2"/>
      <c r="X6" s="2"/>
    </row>
    <row r="7" spans="2:24" s="1" customFormat="1" ht="30" customHeight="1" thickBot="1" x14ac:dyDescent="0.3">
      <c r="B7" s="44"/>
      <c r="C7" s="21" t="s">
        <v>0</v>
      </c>
      <c r="D7" s="65"/>
      <c r="F7" s="24" t="s">
        <v>42</v>
      </c>
      <c r="G7" s="29" t="e">
        <f>G3+G5</f>
        <v>#N/A</v>
      </c>
      <c r="H7" s="28"/>
      <c r="I7" s="14"/>
      <c r="J7" s="15"/>
      <c r="K7" s="15"/>
      <c r="L7" s="15"/>
      <c r="M7" s="15"/>
      <c r="N7" s="16"/>
      <c r="O7" s="53"/>
      <c r="Q7" s="2">
        <v>3</v>
      </c>
      <c r="R7" s="2">
        <v>0.9</v>
      </c>
      <c r="S7" s="2"/>
      <c r="T7" s="2"/>
      <c r="U7" s="2"/>
      <c r="X7" s="2"/>
    </row>
    <row r="8" spans="2:24" s="1" customFormat="1" ht="30" customHeight="1" thickBot="1" x14ac:dyDescent="0.3">
      <c r="B8" s="44"/>
      <c r="D8" s="2"/>
      <c r="I8" s="14"/>
      <c r="J8" s="15"/>
      <c r="K8" s="15"/>
      <c r="L8" s="15"/>
      <c r="M8" s="15"/>
      <c r="N8" s="16"/>
      <c r="O8" s="53"/>
      <c r="Q8" s="2">
        <v>4</v>
      </c>
      <c r="R8" s="2">
        <v>0.8</v>
      </c>
      <c r="S8" s="2"/>
      <c r="T8" s="2"/>
      <c r="U8" s="2"/>
      <c r="X8" s="2"/>
    </row>
    <row r="9" spans="2:24" s="1" customFormat="1" ht="45.75" thickBot="1" x14ac:dyDescent="0.3">
      <c r="B9" s="44"/>
      <c r="C9" s="35" t="s">
        <v>88</v>
      </c>
      <c r="D9" s="63"/>
      <c r="G9" s="55"/>
      <c r="I9" s="14"/>
      <c r="J9" s="15"/>
      <c r="K9" s="15"/>
      <c r="L9" s="15"/>
      <c r="M9" s="15"/>
      <c r="N9" s="16"/>
      <c r="O9" s="53"/>
    </row>
    <row r="10" spans="2:24" s="1" customFormat="1" ht="30" customHeight="1" x14ac:dyDescent="0.25">
      <c r="B10" s="44"/>
      <c r="G10" s="55"/>
      <c r="I10" s="14"/>
      <c r="J10" s="15"/>
      <c r="K10" s="15"/>
      <c r="L10" s="15"/>
      <c r="M10" s="15"/>
      <c r="N10" s="16"/>
      <c r="O10" s="53"/>
    </row>
    <row r="11" spans="2:24" s="1" customFormat="1" ht="30" customHeight="1" x14ac:dyDescent="0.25">
      <c r="B11" s="44"/>
      <c r="I11" s="14"/>
      <c r="J11" s="15"/>
      <c r="K11" s="15"/>
      <c r="L11" s="15"/>
      <c r="M11" s="15"/>
      <c r="N11" s="16"/>
      <c r="O11" s="53"/>
    </row>
    <row r="12" spans="2:24" s="1" customFormat="1" ht="30" customHeight="1" x14ac:dyDescent="0.25">
      <c r="B12" s="44"/>
      <c r="I12" s="14"/>
      <c r="J12" s="83" t="s">
        <v>93</v>
      </c>
      <c r="K12" s="83"/>
      <c r="L12" s="83"/>
      <c r="M12" s="83"/>
      <c r="N12" s="16"/>
      <c r="O12" s="53"/>
    </row>
    <row r="13" spans="2:24" s="1" customFormat="1" ht="30" customHeight="1" x14ac:dyDescent="0.25">
      <c r="B13" s="44"/>
      <c r="I13" s="14"/>
      <c r="J13" s="83"/>
      <c r="K13" s="83"/>
      <c r="L13" s="83"/>
      <c r="M13" s="83"/>
      <c r="N13" s="16"/>
      <c r="O13" s="53"/>
    </row>
    <row r="14" spans="2:24" s="1" customFormat="1" ht="29.25" customHeight="1" x14ac:dyDescent="0.25">
      <c r="B14" s="44"/>
      <c r="F14" s="3"/>
      <c r="G14" s="3"/>
      <c r="I14" s="75"/>
      <c r="J14" s="76"/>
      <c r="K14" s="76"/>
      <c r="L14" s="76"/>
      <c r="M14" s="76"/>
      <c r="N14" s="77"/>
      <c r="O14" s="53"/>
    </row>
    <row r="15" spans="2:24" ht="30" customHeight="1" thickBot="1" x14ac:dyDescent="0.3">
      <c r="B15" s="45"/>
      <c r="I15" s="17"/>
      <c r="J15" s="78"/>
      <c r="K15" s="79"/>
      <c r="L15" s="79"/>
      <c r="M15" s="79"/>
      <c r="N15" s="18"/>
      <c r="O15" s="51"/>
    </row>
    <row r="16" spans="2:24" ht="15.75" thickBot="1" x14ac:dyDescent="0.3">
      <c r="B16" s="46"/>
      <c r="C16" s="47"/>
      <c r="D16" s="48"/>
      <c r="E16" s="49"/>
      <c r="F16" s="49"/>
      <c r="G16" s="49"/>
      <c r="H16" s="49"/>
      <c r="I16" s="60"/>
      <c r="J16" s="60"/>
      <c r="K16" s="60"/>
      <c r="L16" s="60"/>
      <c r="M16" s="60"/>
      <c r="N16" s="49"/>
      <c r="O16" s="50"/>
    </row>
    <row r="17" spans="3:4" ht="15.75" thickTop="1" x14ac:dyDescent="0.25"/>
    <row r="18" spans="3:4" hidden="1" x14ac:dyDescent="0.25">
      <c r="C18" s="1" t="s">
        <v>5</v>
      </c>
      <c r="D18" s="27">
        <v>1.5100000000000001E-2</v>
      </c>
    </row>
    <row r="19" spans="3:4" hidden="1" x14ac:dyDescent="0.25">
      <c r="C19" s="1" t="s">
        <v>33</v>
      </c>
      <c r="D19" s="27">
        <v>3.0200000000000001E-2</v>
      </c>
    </row>
    <row r="20" spans="3:4" hidden="1" x14ac:dyDescent="0.25">
      <c r="C20" s="1" t="s">
        <v>60</v>
      </c>
      <c r="D20" s="27">
        <v>1.5E-3</v>
      </c>
    </row>
    <row r="21" spans="3:4" hidden="1" x14ac:dyDescent="0.25">
      <c r="C21" s="3"/>
      <c r="D21" s="3"/>
    </row>
    <row r="22" spans="3:4" hidden="1" x14ac:dyDescent="0.25">
      <c r="C22" s="1" t="s">
        <v>87</v>
      </c>
      <c r="D22" s="2" t="e">
        <f>VLOOKUP(D9,T3:U5,2,FALSE)</f>
        <v>#N/A</v>
      </c>
    </row>
    <row r="23" spans="3:4" hidden="1" x14ac:dyDescent="0.25"/>
    <row r="24" spans="3:4" hidden="1" x14ac:dyDescent="0.25">
      <c r="C24" s="1" t="s">
        <v>34</v>
      </c>
      <c r="D24" s="2" t="e">
        <f>VLOOKUP(D7,Q3:R8,2,FALSE)</f>
        <v>#N/A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J4:M5"/>
    <mergeCell ref="J12:M13"/>
    <mergeCell ref="I14:N14"/>
    <mergeCell ref="J15:M15"/>
  </mergeCells>
  <dataValidations count="2">
    <dataValidation type="list" allowBlank="1" showInputMessage="1" showErrorMessage="1" sqref="D7" xr:uid="{00000000-0002-0000-0500-000000000000}">
      <formula1>$Q$3:$Q$8</formula1>
    </dataValidation>
    <dataValidation type="list" allowBlank="1" showInputMessage="1" showErrorMessage="1" sqref="D9" xr:uid="{00000000-0002-0000-0500-000001000000}">
      <formula1>$T$3:$T$5</formula1>
    </dataValidation>
  </dataValidations>
  <pageMargins left="0.511811024" right="0.511811024" top="0.78740157499999996" bottom="0.78740157499999996" header="0.31496062000000002" footer="0.31496062000000002"/>
  <pageSetup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IRRIGAÇÃO</vt:lpstr>
      <vt:lpstr>SANEAMENTO</vt:lpstr>
      <vt:lpstr>INDÚSTRIA_MINERAÇÃO</vt:lpstr>
      <vt:lpstr>DESSEDENTAÇÃO ANIMAL</vt:lpstr>
      <vt:lpstr>AQUICULTURA</vt:lpstr>
      <vt:lpstr>TRANSPOSIÇÃO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Thiago Campos</cp:lastModifiedBy>
  <dcterms:created xsi:type="dcterms:W3CDTF">2019-01-01T16:07:53Z</dcterms:created>
  <dcterms:modified xsi:type="dcterms:W3CDTF">2023-05-17T14:20:29Z</dcterms:modified>
</cp:coreProperties>
</file>